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savethechildren1-my.sharepoint.com/personal/jannie_goedkoop_savethechildren_nl/Documents/Documents/SC/2021 A report/AR 2020 F - Copy/"/>
    </mc:Choice>
  </mc:AlternateContent>
  <xr:revisionPtr revIDLastSave="0" documentId="8_{4331A581-3482-4DDC-8918-6987DD391E2D}" xr6:coauthVersionLast="46" xr6:coauthVersionMax="46" xr10:uidLastSave="{00000000-0000-0000-0000-000000000000}"/>
  <bookViews>
    <workbookView xWindow="-110" yWindow="-110" windowWidth="19420" windowHeight="10420" xr2:uid="{809BBD63-FB31-4351-A7EF-13BF68AFE76D}"/>
  </bookViews>
  <sheets>
    <sheet name="BFA (FP)" sheetId="1" r:id="rId1"/>
  </sheets>
  <externalReferences>
    <externalReference r:id="rId2"/>
  </externalReferences>
  <definedNames>
    <definedName name="_xlnm.Print_Area" localSheetId="0">'BFA (FP)'!$A$1:$BA$726</definedName>
    <definedName name="_xlnm.Print_Titles" localSheetId="0">'BFA (FP)'!$6:$7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713" i="1" l="1"/>
  <c r="AR713" i="1"/>
  <c r="AM713" i="1"/>
  <c r="AH713" i="1"/>
  <c r="AG713" i="1"/>
  <c r="AC713" i="1"/>
  <c r="BA712" i="1"/>
  <c r="AR712" i="1"/>
  <c r="AM712" i="1"/>
  <c r="AH712" i="1"/>
  <c r="AG712" i="1"/>
  <c r="AC712" i="1"/>
  <c r="AR711" i="1"/>
  <c r="AM711" i="1"/>
  <c r="AH711" i="1"/>
  <c r="AG711" i="1"/>
  <c r="BA711" i="1" s="1"/>
  <c r="BA710" i="1" s="1"/>
  <c r="AC711" i="1"/>
  <c r="AV710" i="1"/>
  <c r="AQ710" i="1"/>
  <c r="AL710" i="1"/>
  <c r="AG708" i="1"/>
  <c r="BA708" i="1" s="1"/>
  <c r="AC708" i="1"/>
  <c r="AR706" i="1"/>
  <c r="AM706" i="1"/>
  <c r="AH706" i="1"/>
  <c r="AG706" i="1"/>
  <c r="BA706" i="1" s="1"/>
  <c r="AC706" i="1"/>
  <c r="BA705" i="1"/>
  <c r="AR705" i="1"/>
  <c r="AM705" i="1"/>
  <c r="AH705" i="1"/>
  <c r="AG705" i="1"/>
  <c r="AC705" i="1"/>
  <c r="AV704" i="1"/>
  <c r="AQ704" i="1"/>
  <c r="AL704" i="1"/>
  <c r="AV700" i="1"/>
  <c r="AV702" i="1" s="1"/>
  <c r="AV715" i="1" s="1"/>
  <c r="AQ700" i="1"/>
  <c r="AQ702" i="1" s="1"/>
  <c r="AQ715" i="1" s="1"/>
  <c r="AL700" i="1"/>
  <c r="AL702" i="1" s="1"/>
  <c r="AL715" i="1" s="1"/>
  <c r="G700" i="1"/>
  <c r="G702" i="1" s="1"/>
  <c r="G715" i="1" s="1"/>
  <c r="G717" i="1" s="1"/>
  <c r="G719" i="1" s="1"/>
  <c r="BA699" i="1"/>
  <c r="BA698" i="1"/>
  <c r="BA697" i="1"/>
  <c r="BA696" i="1"/>
  <c r="BA695" i="1"/>
  <c r="BA694" i="1"/>
  <c r="BA693" i="1"/>
  <c r="BA692" i="1"/>
  <c r="AA692" i="1"/>
  <c r="V692" i="1"/>
  <c r="Q692" i="1"/>
  <c r="L692" i="1"/>
  <c r="G692" i="1"/>
  <c r="BA691" i="1"/>
  <c r="BA690" i="1"/>
  <c r="BA689" i="1"/>
  <c r="BA688" i="1"/>
  <c r="BA687" i="1"/>
  <c r="BA686" i="1"/>
  <c r="BA685" i="1"/>
  <c r="AA685" i="1"/>
  <c r="V685" i="1"/>
  <c r="Q685" i="1"/>
  <c r="L685" i="1"/>
  <c r="G685" i="1"/>
  <c r="BA684" i="1"/>
  <c r="BA683" i="1"/>
  <c r="BA682" i="1"/>
  <c r="BA681" i="1"/>
  <c r="BA680" i="1"/>
  <c r="BA679" i="1"/>
  <c r="AA679" i="1"/>
  <c r="AA700" i="1" s="1"/>
  <c r="AA702" i="1" s="1"/>
  <c r="AA715" i="1" s="1"/>
  <c r="V679" i="1"/>
  <c r="Q679" i="1"/>
  <c r="L679" i="1"/>
  <c r="G679" i="1"/>
  <c r="BA678" i="1"/>
  <c r="BA677" i="1"/>
  <c r="BA676" i="1"/>
  <c r="BA675" i="1"/>
  <c r="BA674" i="1"/>
  <c r="BA673" i="1"/>
  <c r="AA673" i="1"/>
  <c r="V673" i="1"/>
  <c r="Q673" i="1"/>
  <c r="L673" i="1"/>
  <c r="G673" i="1"/>
  <c r="BA672" i="1"/>
  <c r="BA671" i="1"/>
  <c r="BA670" i="1"/>
  <c r="BA669" i="1"/>
  <c r="BA668" i="1"/>
  <c r="BA667" i="1"/>
  <c r="BA666" i="1"/>
  <c r="AA666" i="1"/>
  <c r="V666" i="1"/>
  <c r="Q666" i="1"/>
  <c r="L666" i="1"/>
  <c r="G666" i="1"/>
  <c r="BA665" i="1"/>
  <c r="BA664" i="1"/>
  <c r="BA663" i="1"/>
  <c r="BA662" i="1"/>
  <c r="BA661" i="1"/>
  <c r="BA660" i="1"/>
  <c r="BA659" i="1"/>
  <c r="AA659" i="1"/>
  <c r="V659" i="1"/>
  <c r="V700" i="1" s="1"/>
  <c r="Q659" i="1"/>
  <c r="Q700" i="1" s="1"/>
  <c r="L659" i="1"/>
  <c r="L700" i="1" s="1"/>
  <c r="G659" i="1"/>
  <c r="BA658" i="1"/>
  <c r="AR655" i="1"/>
  <c r="AM655" i="1"/>
  <c r="AH655" i="1"/>
  <c r="AC655" i="1"/>
  <c r="AG655" i="1" s="1"/>
  <c r="BA655" i="1" s="1"/>
  <c r="AR654" i="1"/>
  <c r="AM654" i="1"/>
  <c r="AH654" i="1"/>
  <c r="AC654" i="1"/>
  <c r="AG654" i="1" s="1"/>
  <c r="BA654" i="1" s="1"/>
  <c r="AR653" i="1"/>
  <c r="AM653" i="1"/>
  <c r="AH653" i="1"/>
  <c r="AC653" i="1"/>
  <c r="AG653" i="1" s="1"/>
  <c r="BA653" i="1" s="1"/>
  <c r="AR652" i="1"/>
  <c r="AM652" i="1"/>
  <c r="AH652" i="1"/>
  <c r="AC652" i="1"/>
  <c r="AG652" i="1" s="1"/>
  <c r="BA652" i="1" s="1"/>
  <c r="AR651" i="1"/>
  <c r="AM651" i="1"/>
  <c r="AH651" i="1"/>
  <c r="AC651" i="1"/>
  <c r="AG651" i="1" s="1"/>
  <c r="BA651" i="1" s="1"/>
  <c r="AR650" i="1"/>
  <c r="AM650" i="1"/>
  <c r="AH650" i="1"/>
  <c r="AC650" i="1"/>
  <c r="AG650" i="1" s="1"/>
  <c r="BA650" i="1" s="1"/>
  <c r="AR649" i="1"/>
  <c r="AM649" i="1"/>
  <c r="AH649" i="1"/>
  <c r="AC649" i="1"/>
  <c r="AG649" i="1" s="1"/>
  <c r="BA649" i="1" s="1"/>
  <c r="AR648" i="1"/>
  <c r="AM648" i="1"/>
  <c r="AH648" i="1"/>
  <c r="AR647" i="1"/>
  <c r="AM647" i="1"/>
  <c r="AH647" i="1"/>
  <c r="AR646" i="1"/>
  <c r="AM646" i="1"/>
  <c r="AH646" i="1"/>
  <c r="AR645" i="1"/>
  <c r="AM645" i="1"/>
  <c r="AH645" i="1"/>
  <c r="AG645" i="1"/>
  <c r="BA645" i="1" s="1"/>
  <c r="AC645" i="1"/>
  <c r="AR644" i="1"/>
  <c r="AM644" i="1"/>
  <c r="AH644" i="1"/>
  <c r="AC644" i="1"/>
  <c r="AG644" i="1" s="1"/>
  <c r="BA644" i="1" s="1"/>
  <c r="AR643" i="1"/>
  <c r="AM643" i="1"/>
  <c r="AH643" i="1"/>
  <c r="AR642" i="1"/>
  <c r="AM642" i="1"/>
  <c r="AH642" i="1"/>
  <c r="AC642" i="1"/>
  <c r="AG642" i="1" s="1"/>
  <c r="BA642" i="1" s="1"/>
  <c r="AR641" i="1"/>
  <c r="AM641" i="1"/>
  <c r="AH641" i="1"/>
  <c r="AC641" i="1"/>
  <c r="AG641" i="1" s="1"/>
  <c r="BA641" i="1" s="1"/>
  <c r="AR640" i="1"/>
  <c r="AM640" i="1"/>
  <c r="AH640" i="1"/>
  <c r="AR639" i="1"/>
  <c r="AM639" i="1"/>
  <c r="AH639" i="1"/>
  <c r="AR638" i="1"/>
  <c r="AM638" i="1"/>
  <c r="AH638" i="1"/>
  <c r="BA637" i="1"/>
  <c r="AR637" i="1"/>
  <c r="AM637" i="1"/>
  <c r="AH637" i="1"/>
  <c r="AG637" i="1"/>
  <c r="AC637" i="1"/>
  <c r="AR636" i="1"/>
  <c r="AM636" i="1"/>
  <c r="AH636" i="1"/>
  <c r="AG636" i="1"/>
  <c r="BA636" i="1" s="1"/>
  <c r="AC636" i="1"/>
  <c r="AR635" i="1"/>
  <c r="AM635" i="1"/>
  <c r="AH635" i="1"/>
  <c r="AR634" i="1"/>
  <c r="AM634" i="1"/>
  <c r="AH634" i="1"/>
  <c r="AC634" i="1"/>
  <c r="AG634" i="1" s="1"/>
  <c r="BA634" i="1" s="1"/>
  <c r="AR633" i="1"/>
  <c r="AM633" i="1"/>
  <c r="AH633" i="1"/>
  <c r="AC633" i="1"/>
  <c r="AG633" i="1" s="1"/>
  <c r="BA633" i="1" s="1"/>
  <c r="AR632" i="1"/>
  <c r="AM632" i="1"/>
  <c r="AH632" i="1"/>
  <c r="AR631" i="1"/>
  <c r="AM631" i="1"/>
  <c r="AH631" i="1"/>
  <c r="AR630" i="1"/>
  <c r="AM630" i="1"/>
  <c r="AH630" i="1"/>
  <c r="AR629" i="1"/>
  <c r="AM629" i="1"/>
  <c r="AH629" i="1"/>
  <c r="AG629" i="1"/>
  <c r="BA629" i="1" s="1"/>
  <c r="AC629" i="1"/>
  <c r="AR628" i="1"/>
  <c r="AM628" i="1"/>
  <c r="AH628" i="1"/>
  <c r="AC628" i="1"/>
  <c r="AG628" i="1" s="1"/>
  <c r="BA628" i="1" s="1"/>
  <c r="BA627" i="1"/>
  <c r="AR627" i="1"/>
  <c r="AM627" i="1"/>
  <c r="AH627" i="1"/>
  <c r="AG627" i="1"/>
  <c r="AC627" i="1"/>
  <c r="AR626" i="1"/>
  <c r="AM626" i="1"/>
  <c r="AH626" i="1"/>
  <c r="AR625" i="1"/>
  <c r="AM625" i="1"/>
  <c r="AH625" i="1"/>
  <c r="AR624" i="1"/>
  <c r="AM624" i="1"/>
  <c r="AH624" i="1"/>
  <c r="AG624" i="1"/>
  <c r="BA624" i="1" s="1"/>
  <c r="AC624" i="1"/>
  <c r="AR623" i="1"/>
  <c r="AM623" i="1"/>
  <c r="AH623" i="1"/>
  <c r="AC623" i="1"/>
  <c r="AG623" i="1" s="1"/>
  <c r="BA623" i="1" s="1"/>
  <c r="AR622" i="1"/>
  <c r="AM622" i="1"/>
  <c r="AH622" i="1"/>
  <c r="AR621" i="1"/>
  <c r="AM621" i="1"/>
  <c r="AH621" i="1"/>
  <c r="AR620" i="1"/>
  <c r="AM620" i="1"/>
  <c r="AH620" i="1"/>
  <c r="AR619" i="1"/>
  <c r="AM619" i="1"/>
  <c r="AH619" i="1"/>
  <c r="AC619" i="1"/>
  <c r="AG619" i="1" s="1"/>
  <c r="BA619" i="1" s="1"/>
  <c r="AR618" i="1"/>
  <c r="AM618" i="1"/>
  <c r="AH618" i="1"/>
  <c r="AC618" i="1"/>
  <c r="AG618" i="1" s="1"/>
  <c r="BA618" i="1" s="1"/>
  <c r="AR617" i="1"/>
  <c r="AM617" i="1"/>
  <c r="AH617" i="1"/>
  <c r="AC617" i="1"/>
  <c r="AG617" i="1" s="1"/>
  <c r="BA617" i="1" s="1"/>
  <c r="AR616" i="1"/>
  <c r="AM616" i="1"/>
  <c r="AH616" i="1"/>
  <c r="AC616" i="1"/>
  <c r="AG616" i="1" s="1"/>
  <c r="BA616" i="1" s="1"/>
  <c r="AR615" i="1"/>
  <c r="AM615" i="1"/>
  <c r="AH615" i="1"/>
  <c r="AC615" i="1"/>
  <c r="AG615" i="1" s="1"/>
  <c r="BA615" i="1" s="1"/>
  <c r="AR614" i="1"/>
  <c r="AM614" i="1"/>
  <c r="AH614" i="1"/>
  <c r="AC614" i="1"/>
  <c r="AG614" i="1" s="1"/>
  <c r="AV609" i="1"/>
  <c r="AQ609" i="1"/>
  <c r="AL609" i="1"/>
  <c r="BA608" i="1"/>
  <c r="BA607" i="1"/>
  <c r="BA606" i="1"/>
  <c r="BA605" i="1"/>
  <c r="BA604" i="1"/>
  <c r="BA603" i="1"/>
  <c r="BA602" i="1"/>
  <c r="BA601" i="1"/>
  <c r="BA600" i="1"/>
  <c r="BA599" i="1"/>
  <c r="BA598" i="1"/>
  <c r="BA597" i="1"/>
  <c r="BA596" i="1"/>
  <c r="BA595" i="1"/>
  <c r="BA594" i="1"/>
  <c r="BA593" i="1"/>
  <c r="BA592" i="1"/>
  <c r="BA591" i="1"/>
  <c r="BA590" i="1"/>
  <c r="BA589" i="1"/>
  <c r="BA588" i="1"/>
  <c r="BA587" i="1"/>
  <c r="BA586" i="1"/>
  <c r="BA585" i="1"/>
  <c r="AA585" i="1"/>
  <c r="V585" i="1"/>
  <c r="Q585" i="1"/>
  <c r="L585" i="1"/>
  <c r="G585" i="1"/>
  <c r="BA584" i="1"/>
  <c r="BA583" i="1"/>
  <c r="BA582" i="1"/>
  <c r="BA581" i="1"/>
  <c r="BA580" i="1"/>
  <c r="BA579" i="1"/>
  <c r="AA579" i="1"/>
  <c r="AA609" i="1" s="1"/>
  <c r="V579" i="1"/>
  <c r="Q579" i="1"/>
  <c r="L579" i="1"/>
  <c r="G579" i="1"/>
  <c r="BA578" i="1"/>
  <c r="BA577" i="1"/>
  <c r="BA576" i="1"/>
  <c r="BA575" i="1"/>
  <c r="BA574" i="1"/>
  <c r="BA573" i="1"/>
  <c r="AA573" i="1"/>
  <c r="V573" i="1"/>
  <c r="Q573" i="1"/>
  <c r="L573" i="1"/>
  <c r="G573" i="1"/>
  <c r="BA572" i="1"/>
  <c r="BA571" i="1"/>
  <c r="BA570" i="1"/>
  <c r="BA569" i="1"/>
  <c r="BA568" i="1"/>
  <c r="BA567" i="1"/>
  <c r="BA566" i="1"/>
  <c r="AA566" i="1"/>
  <c r="V566" i="1"/>
  <c r="Q566" i="1"/>
  <c r="L566" i="1"/>
  <c r="G566" i="1"/>
  <c r="BA565" i="1"/>
  <c r="BA564" i="1"/>
  <c r="BA563" i="1"/>
  <c r="BA562" i="1"/>
  <c r="BA561" i="1"/>
  <c r="BA560" i="1"/>
  <c r="BA559" i="1"/>
  <c r="BA558" i="1"/>
  <c r="AA558" i="1"/>
  <c r="V558" i="1"/>
  <c r="Q558" i="1"/>
  <c r="L558" i="1"/>
  <c r="G558" i="1"/>
  <c r="BA557" i="1"/>
  <c r="BA556" i="1"/>
  <c r="BA555" i="1"/>
  <c r="BA554" i="1"/>
  <c r="BA551" i="1"/>
  <c r="AA551" i="1"/>
  <c r="V551" i="1"/>
  <c r="V609" i="1" s="1"/>
  <c r="Q551" i="1"/>
  <c r="Q609" i="1" s="1"/>
  <c r="L551" i="1"/>
  <c r="L609" i="1" s="1"/>
  <c r="G551" i="1"/>
  <c r="G609" i="1" s="1"/>
  <c r="AR547" i="1"/>
  <c r="AM547" i="1"/>
  <c r="AH547" i="1"/>
  <c r="AC547" i="1"/>
  <c r="AG547" i="1" s="1"/>
  <c r="BA547" i="1" s="1"/>
  <c r="AR546" i="1"/>
  <c r="AM546" i="1"/>
  <c r="AH546" i="1"/>
  <c r="AC546" i="1"/>
  <c r="AG546" i="1" s="1"/>
  <c r="BA546" i="1" s="1"/>
  <c r="AR545" i="1"/>
  <c r="AM545" i="1"/>
  <c r="AH545" i="1"/>
  <c r="AC545" i="1"/>
  <c r="AG545" i="1" s="1"/>
  <c r="BA545" i="1" s="1"/>
  <c r="AR544" i="1"/>
  <c r="AM544" i="1"/>
  <c r="AH544" i="1"/>
  <c r="AC544" i="1"/>
  <c r="AG544" i="1" s="1"/>
  <c r="BA544" i="1" s="1"/>
  <c r="AR543" i="1"/>
  <c r="AM543" i="1"/>
  <c r="AH543" i="1"/>
  <c r="AC543" i="1"/>
  <c r="AG543" i="1" s="1"/>
  <c r="BA543" i="1" s="1"/>
  <c r="AR542" i="1"/>
  <c r="AM542" i="1"/>
  <c r="AH542" i="1"/>
  <c r="AC542" i="1"/>
  <c r="AG542" i="1" s="1"/>
  <c r="BA542" i="1" s="1"/>
  <c r="AR541" i="1"/>
  <c r="AM541" i="1"/>
  <c r="AH541" i="1"/>
  <c r="AC541" i="1"/>
  <c r="AG541" i="1" s="1"/>
  <c r="BA541" i="1" s="1"/>
  <c r="AR540" i="1"/>
  <c r="AM540" i="1"/>
  <c r="AH540" i="1"/>
  <c r="AR539" i="1"/>
  <c r="AM539" i="1"/>
  <c r="AH539" i="1"/>
  <c r="AR538" i="1"/>
  <c r="AM538" i="1"/>
  <c r="AH538" i="1"/>
  <c r="BA537" i="1"/>
  <c r="AR537" i="1"/>
  <c r="AM537" i="1"/>
  <c r="AH537" i="1"/>
  <c r="AG537" i="1"/>
  <c r="AC537" i="1"/>
  <c r="AR536" i="1"/>
  <c r="AM536" i="1"/>
  <c r="AH536" i="1"/>
  <c r="AG536" i="1"/>
  <c r="BA536" i="1" s="1"/>
  <c r="AC536" i="1"/>
  <c r="AR535" i="1"/>
  <c r="AM535" i="1"/>
  <c r="AH535" i="1"/>
  <c r="AR534" i="1"/>
  <c r="AM534" i="1"/>
  <c r="AH534" i="1"/>
  <c r="AC534" i="1"/>
  <c r="AG534" i="1" s="1"/>
  <c r="BA534" i="1" s="1"/>
  <c r="AR533" i="1"/>
  <c r="AM533" i="1"/>
  <c r="AH533" i="1"/>
  <c r="AC533" i="1"/>
  <c r="AG533" i="1" s="1"/>
  <c r="BA533" i="1" s="1"/>
  <c r="AR532" i="1"/>
  <c r="AM532" i="1"/>
  <c r="AH532" i="1"/>
  <c r="AR531" i="1"/>
  <c r="AM531" i="1"/>
  <c r="AH531" i="1"/>
  <c r="AR530" i="1"/>
  <c r="AM530" i="1"/>
  <c r="AH530" i="1"/>
  <c r="AR529" i="1"/>
  <c r="AM529" i="1"/>
  <c r="AH529" i="1"/>
  <c r="AG529" i="1"/>
  <c r="BA529" i="1" s="1"/>
  <c r="AC529" i="1"/>
  <c r="AR528" i="1"/>
  <c r="AM528" i="1"/>
  <c r="AH528" i="1"/>
  <c r="AC528" i="1"/>
  <c r="AG528" i="1" s="1"/>
  <c r="BA528" i="1" s="1"/>
  <c r="AR527" i="1"/>
  <c r="AM527" i="1"/>
  <c r="AH527" i="1"/>
  <c r="AR526" i="1"/>
  <c r="AM526" i="1"/>
  <c r="AH526" i="1"/>
  <c r="AC526" i="1"/>
  <c r="AG526" i="1" s="1"/>
  <c r="BA526" i="1" s="1"/>
  <c r="AR525" i="1"/>
  <c r="AM525" i="1"/>
  <c r="AH525" i="1"/>
  <c r="AC525" i="1"/>
  <c r="AG525" i="1" s="1"/>
  <c r="BA525" i="1" s="1"/>
  <c r="AR524" i="1"/>
  <c r="AM524" i="1"/>
  <c r="AH524" i="1"/>
  <c r="AR523" i="1"/>
  <c r="AM523" i="1"/>
  <c r="AH523" i="1"/>
  <c r="AR522" i="1"/>
  <c r="AM522" i="1"/>
  <c r="AH522" i="1"/>
  <c r="BA521" i="1"/>
  <c r="AR521" i="1"/>
  <c r="AM521" i="1"/>
  <c r="AH521" i="1"/>
  <c r="AG521" i="1"/>
  <c r="AC521" i="1"/>
  <c r="AR520" i="1"/>
  <c r="AM520" i="1"/>
  <c r="AH520" i="1"/>
  <c r="AG520" i="1"/>
  <c r="BA520" i="1" s="1"/>
  <c r="AC520" i="1"/>
  <c r="AR519" i="1"/>
  <c r="AM519" i="1"/>
  <c r="AH519" i="1"/>
  <c r="AG519" i="1"/>
  <c r="BA519" i="1" s="1"/>
  <c r="AC519" i="1"/>
  <c r="AR518" i="1"/>
  <c r="AM518" i="1"/>
  <c r="AH518" i="1"/>
  <c r="AR517" i="1"/>
  <c r="AM517" i="1"/>
  <c r="AH517" i="1"/>
  <c r="BA516" i="1"/>
  <c r="AR516" i="1"/>
  <c r="AM516" i="1"/>
  <c r="AH516" i="1"/>
  <c r="AG516" i="1"/>
  <c r="AC516" i="1"/>
  <c r="AR515" i="1"/>
  <c r="AM515" i="1"/>
  <c r="AH515" i="1"/>
  <c r="AG515" i="1"/>
  <c r="BA515" i="1" s="1"/>
  <c r="AC515" i="1"/>
  <c r="AR514" i="1"/>
  <c r="AM514" i="1"/>
  <c r="AH514" i="1"/>
  <c r="AR513" i="1"/>
  <c r="AM513" i="1"/>
  <c r="AH513" i="1"/>
  <c r="AR512" i="1"/>
  <c r="AM512" i="1"/>
  <c r="AH512" i="1"/>
  <c r="AR511" i="1"/>
  <c r="AM511" i="1"/>
  <c r="AH511" i="1"/>
  <c r="AC511" i="1"/>
  <c r="AG511" i="1" s="1"/>
  <c r="BA511" i="1" s="1"/>
  <c r="AR510" i="1"/>
  <c r="AM510" i="1"/>
  <c r="AH510" i="1"/>
  <c r="AC510" i="1"/>
  <c r="AG510" i="1" s="1"/>
  <c r="BA510" i="1" s="1"/>
  <c r="AR509" i="1"/>
  <c r="AM509" i="1"/>
  <c r="AH509" i="1"/>
  <c r="AC509" i="1"/>
  <c r="AG509" i="1" s="1"/>
  <c r="BA509" i="1" s="1"/>
  <c r="AR508" i="1"/>
  <c r="AM508" i="1"/>
  <c r="AH508" i="1"/>
  <c r="AC508" i="1"/>
  <c r="AG508" i="1" s="1"/>
  <c r="BA508" i="1" s="1"/>
  <c r="AR507" i="1"/>
  <c r="AM507" i="1"/>
  <c r="AH507" i="1"/>
  <c r="AC507" i="1"/>
  <c r="AG507" i="1" s="1"/>
  <c r="BA507" i="1" s="1"/>
  <c r="AR506" i="1"/>
  <c r="AM506" i="1"/>
  <c r="AH506" i="1"/>
  <c r="AC506" i="1"/>
  <c r="AG506" i="1" s="1"/>
  <c r="AR497" i="1"/>
  <c r="AM497" i="1"/>
  <c r="AH497" i="1"/>
  <c r="AC497" i="1"/>
  <c r="AG497" i="1" s="1"/>
  <c r="BA497" i="1" s="1"/>
  <c r="AR496" i="1"/>
  <c r="AM496" i="1"/>
  <c r="AH496" i="1"/>
  <c r="AC496" i="1"/>
  <c r="AG496" i="1" s="1"/>
  <c r="BA496" i="1" s="1"/>
  <c r="AR495" i="1"/>
  <c r="AM495" i="1"/>
  <c r="AH495" i="1"/>
  <c r="AC495" i="1"/>
  <c r="AG495" i="1" s="1"/>
  <c r="AV494" i="1"/>
  <c r="AQ494" i="1"/>
  <c r="AL494" i="1"/>
  <c r="AC492" i="1"/>
  <c r="AG492" i="1" s="1"/>
  <c r="BA492" i="1" s="1"/>
  <c r="AR490" i="1"/>
  <c r="AM490" i="1"/>
  <c r="AH490" i="1"/>
  <c r="AC490" i="1"/>
  <c r="AG490" i="1" s="1"/>
  <c r="BA490" i="1" s="1"/>
  <c r="AR489" i="1"/>
  <c r="AM489" i="1"/>
  <c r="AH489" i="1"/>
  <c r="AC489" i="1"/>
  <c r="AG489" i="1" s="1"/>
  <c r="AV488" i="1"/>
  <c r="AQ488" i="1"/>
  <c r="AL488" i="1"/>
  <c r="AV484" i="1"/>
  <c r="AV486" i="1" s="1"/>
  <c r="AV499" i="1" s="1"/>
  <c r="AQ484" i="1"/>
  <c r="AQ486" i="1" s="1"/>
  <c r="AQ499" i="1" s="1"/>
  <c r="AL484" i="1"/>
  <c r="AA484" i="1"/>
  <c r="V484" i="1"/>
  <c r="Q484" i="1"/>
  <c r="L484" i="1"/>
  <c r="G484" i="1"/>
  <c r="BA483" i="1"/>
  <c r="BA482" i="1"/>
  <c r="BA481" i="1"/>
  <c r="BA480" i="1"/>
  <c r="BA479" i="1"/>
  <c r="BA478" i="1"/>
  <c r="BA477" i="1"/>
  <c r="BA476" i="1"/>
  <c r="AW476" i="1"/>
  <c r="BA475" i="1"/>
  <c r="BA474" i="1"/>
  <c r="BA473" i="1"/>
  <c r="BA472" i="1"/>
  <c r="AR466" i="1"/>
  <c r="AM466" i="1"/>
  <c r="AH466" i="1"/>
  <c r="AC466" i="1"/>
  <c r="AG466" i="1" s="1"/>
  <c r="BA466" i="1" s="1"/>
  <c r="AR465" i="1"/>
  <c r="AM465" i="1"/>
  <c r="AH465" i="1"/>
  <c r="AC465" i="1"/>
  <c r="AG465" i="1" s="1"/>
  <c r="BA465" i="1" s="1"/>
  <c r="AR464" i="1"/>
  <c r="AM464" i="1"/>
  <c r="AH464" i="1"/>
  <c r="AC464" i="1"/>
  <c r="AG464" i="1" s="1"/>
  <c r="BA464" i="1" s="1"/>
  <c r="AR463" i="1"/>
  <c r="AM463" i="1"/>
  <c r="AH463" i="1"/>
  <c r="AC463" i="1"/>
  <c r="AG463" i="1" s="1"/>
  <c r="BA463" i="1" s="1"/>
  <c r="AR462" i="1"/>
  <c r="AM462" i="1"/>
  <c r="AH462" i="1"/>
  <c r="AC462" i="1"/>
  <c r="AG462" i="1" s="1"/>
  <c r="BA462" i="1" s="1"/>
  <c r="AR461" i="1"/>
  <c r="AM461" i="1"/>
  <c r="AH461" i="1"/>
  <c r="AC461" i="1"/>
  <c r="AG461" i="1" s="1"/>
  <c r="BA461" i="1" s="1"/>
  <c r="AR460" i="1"/>
  <c r="AM460" i="1"/>
  <c r="AH460" i="1"/>
  <c r="AC460" i="1"/>
  <c r="AG460" i="1" s="1"/>
  <c r="BA460" i="1" s="1"/>
  <c r="AR459" i="1"/>
  <c r="AM459" i="1"/>
  <c r="AH459" i="1"/>
  <c r="AR458" i="1"/>
  <c r="AM458" i="1"/>
  <c r="AH458" i="1"/>
  <c r="AR457" i="1"/>
  <c r="AM457" i="1"/>
  <c r="AH457" i="1"/>
  <c r="AR456" i="1"/>
  <c r="AM456" i="1"/>
  <c r="AH456" i="1"/>
  <c r="AC456" i="1"/>
  <c r="AG456" i="1" s="1"/>
  <c r="BA456" i="1" s="1"/>
  <c r="BA455" i="1"/>
  <c r="AR455" i="1"/>
  <c r="AM455" i="1"/>
  <c r="AH455" i="1"/>
  <c r="AG455" i="1"/>
  <c r="AC455" i="1"/>
  <c r="AR454" i="1"/>
  <c r="AM454" i="1"/>
  <c r="AH454" i="1"/>
  <c r="AR453" i="1"/>
  <c r="AM453" i="1"/>
  <c r="AH453" i="1"/>
  <c r="AC453" i="1"/>
  <c r="AG453" i="1" s="1"/>
  <c r="BA453" i="1" s="1"/>
  <c r="AR452" i="1"/>
  <c r="AM452" i="1"/>
  <c r="AH452" i="1"/>
  <c r="AC452" i="1"/>
  <c r="AG452" i="1" s="1"/>
  <c r="BA452" i="1" s="1"/>
  <c r="AR451" i="1"/>
  <c r="AM451" i="1"/>
  <c r="AH451" i="1"/>
  <c r="AR450" i="1"/>
  <c r="AM450" i="1"/>
  <c r="AH450" i="1"/>
  <c r="AR449" i="1"/>
  <c r="AM449" i="1"/>
  <c r="AH449" i="1"/>
  <c r="AR448" i="1"/>
  <c r="AM448" i="1"/>
  <c r="AH448" i="1"/>
  <c r="AG448" i="1"/>
  <c r="BA448" i="1" s="1"/>
  <c r="AC448" i="1"/>
  <c r="AR447" i="1"/>
  <c r="AM447" i="1"/>
  <c r="AH447" i="1"/>
  <c r="AG447" i="1"/>
  <c r="BA447" i="1" s="1"/>
  <c r="AC447" i="1"/>
  <c r="AR446" i="1"/>
  <c r="AM446" i="1"/>
  <c r="AH446" i="1"/>
  <c r="AR445" i="1"/>
  <c r="AM445" i="1"/>
  <c r="AH445" i="1"/>
  <c r="AC445" i="1"/>
  <c r="AG445" i="1" s="1"/>
  <c r="BA445" i="1" s="1"/>
  <c r="AR444" i="1"/>
  <c r="AM444" i="1"/>
  <c r="AH444" i="1"/>
  <c r="AC444" i="1"/>
  <c r="AG444" i="1" s="1"/>
  <c r="BA444" i="1" s="1"/>
  <c r="AR443" i="1"/>
  <c r="AM443" i="1"/>
  <c r="AH443" i="1"/>
  <c r="AR442" i="1"/>
  <c r="AM442" i="1"/>
  <c r="AH442" i="1"/>
  <c r="AR441" i="1"/>
  <c r="AM441" i="1"/>
  <c r="AH441" i="1"/>
  <c r="AR440" i="1"/>
  <c r="AM440" i="1"/>
  <c r="AH440" i="1"/>
  <c r="AC440" i="1"/>
  <c r="AG440" i="1" s="1"/>
  <c r="BA440" i="1" s="1"/>
  <c r="BA439" i="1"/>
  <c r="AR439" i="1"/>
  <c r="AM439" i="1"/>
  <c r="AH439" i="1"/>
  <c r="AG439" i="1"/>
  <c r="AC439" i="1"/>
  <c r="AR438" i="1"/>
  <c r="AM438" i="1"/>
  <c r="AH438" i="1"/>
  <c r="AG438" i="1"/>
  <c r="BA438" i="1" s="1"/>
  <c r="AC438" i="1"/>
  <c r="AR437" i="1"/>
  <c r="AM437" i="1"/>
  <c r="AH437" i="1"/>
  <c r="AR436" i="1"/>
  <c r="AM436" i="1"/>
  <c r="AH436" i="1"/>
  <c r="AR435" i="1"/>
  <c r="AM435" i="1"/>
  <c r="AH435" i="1"/>
  <c r="AC435" i="1"/>
  <c r="AG435" i="1" s="1"/>
  <c r="BA435" i="1" s="1"/>
  <c r="BA434" i="1"/>
  <c r="AR434" i="1"/>
  <c r="AM434" i="1"/>
  <c r="AH434" i="1"/>
  <c r="AG434" i="1"/>
  <c r="AC434" i="1"/>
  <c r="AR433" i="1"/>
  <c r="AM433" i="1"/>
  <c r="AH433" i="1"/>
  <c r="AR432" i="1"/>
  <c r="AM432" i="1"/>
  <c r="AH432" i="1"/>
  <c r="AR431" i="1"/>
  <c r="AM431" i="1"/>
  <c r="AH431" i="1"/>
  <c r="AR430" i="1"/>
  <c r="AM430" i="1"/>
  <c r="AH430" i="1"/>
  <c r="AC430" i="1"/>
  <c r="AG430" i="1" s="1"/>
  <c r="BA430" i="1" s="1"/>
  <c r="AR429" i="1"/>
  <c r="AM429" i="1"/>
  <c r="AH429" i="1"/>
  <c r="AC429" i="1"/>
  <c r="AG429" i="1" s="1"/>
  <c r="BA429" i="1" s="1"/>
  <c r="AR428" i="1"/>
  <c r="AM428" i="1"/>
  <c r="AH428" i="1"/>
  <c r="AC428" i="1"/>
  <c r="AG428" i="1" s="1"/>
  <c r="BA428" i="1" s="1"/>
  <c r="AR427" i="1"/>
  <c r="AM427" i="1"/>
  <c r="AH427" i="1"/>
  <c r="AC427" i="1"/>
  <c r="AG427" i="1" s="1"/>
  <c r="BA427" i="1" s="1"/>
  <c r="AR426" i="1"/>
  <c r="AM426" i="1"/>
  <c r="AH426" i="1"/>
  <c r="AC426" i="1"/>
  <c r="AG426" i="1" s="1"/>
  <c r="BA426" i="1" s="1"/>
  <c r="AR425" i="1"/>
  <c r="AM425" i="1"/>
  <c r="AH425" i="1"/>
  <c r="AC425" i="1"/>
  <c r="AG425" i="1" s="1"/>
  <c r="AQ420" i="1"/>
  <c r="AL420" i="1"/>
  <c r="BA419" i="1"/>
  <c r="BA418" i="1"/>
  <c r="BA417" i="1"/>
  <c r="BA416" i="1"/>
  <c r="BA415" i="1"/>
  <c r="BA414" i="1"/>
  <c r="AA414" i="1"/>
  <c r="V414" i="1"/>
  <c r="Q414" i="1"/>
  <c r="L414" i="1"/>
  <c r="G414" i="1"/>
  <c r="BA413" i="1"/>
  <c r="BA412" i="1"/>
  <c r="BA411" i="1"/>
  <c r="BA410" i="1"/>
  <c r="BA409" i="1"/>
  <c r="BA408" i="1"/>
  <c r="BA407" i="1"/>
  <c r="BA406" i="1"/>
  <c r="BA405" i="1"/>
  <c r="BA404" i="1"/>
  <c r="AA404" i="1"/>
  <c r="V404" i="1"/>
  <c r="Q404" i="1"/>
  <c r="L404" i="1"/>
  <c r="G404" i="1"/>
  <c r="BA403" i="1"/>
  <c r="BA402" i="1"/>
  <c r="BA401" i="1"/>
  <c r="BA400" i="1"/>
  <c r="BA399" i="1"/>
  <c r="BA398" i="1"/>
  <c r="BA397" i="1"/>
  <c r="BA396" i="1"/>
  <c r="AA396" i="1"/>
  <c r="V396" i="1"/>
  <c r="Q396" i="1"/>
  <c r="L396" i="1"/>
  <c r="G396" i="1"/>
  <c r="BA395" i="1"/>
  <c r="BA394" i="1"/>
  <c r="BA393" i="1"/>
  <c r="BA392" i="1"/>
  <c r="BA391" i="1"/>
  <c r="BA390" i="1"/>
  <c r="BA389" i="1"/>
  <c r="BA388" i="1"/>
  <c r="AA388" i="1"/>
  <c r="V388" i="1"/>
  <c r="Q388" i="1"/>
  <c r="L388" i="1"/>
  <c r="G388" i="1"/>
  <c r="BA387" i="1"/>
  <c r="BA386" i="1"/>
  <c r="BA385" i="1"/>
  <c r="BA384" i="1"/>
  <c r="BA383" i="1"/>
  <c r="BA382" i="1"/>
  <c r="BA381" i="1"/>
  <c r="BA380" i="1"/>
  <c r="BA379" i="1"/>
  <c r="BA378" i="1"/>
  <c r="BA377" i="1"/>
  <c r="BA376" i="1"/>
  <c r="BA375" i="1"/>
  <c r="AA375" i="1"/>
  <c r="V375" i="1"/>
  <c r="Q375" i="1"/>
  <c r="L375" i="1"/>
  <c r="G375" i="1"/>
  <c r="BA374" i="1"/>
  <c r="BA373" i="1"/>
  <c r="BA372" i="1"/>
  <c r="BA371" i="1"/>
  <c r="BA370" i="1"/>
  <c r="BA369" i="1"/>
  <c r="AA369" i="1"/>
  <c r="V369" i="1"/>
  <c r="Q369" i="1"/>
  <c r="L369" i="1"/>
  <c r="G369" i="1"/>
  <c r="BA368" i="1"/>
  <c r="BA367" i="1"/>
  <c r="BA366" i="1"/>
  <c r="BA365" i="1"/>
  <c r="BA364" i="1"/>
  <c r="BA363" i="1"/>
  <c r="AA363" i="1"/>
  <c r="V363" i="1"/>
  <c r="Q363" i="1"/>
  <c r="L363" i="1"/>
  <c r="G363" i="1"/>
  <c r="BA362" i="1"/>
  <c r="BA361" i="1"/>
  <c r="BA360" i="1"/>
  <c r="BA359" i="1"/>
  <c r="BA358" i="1"/>
  <c r="BA357" i="1"/>
  <c r="AA357" i="1"/>
  <c r="V357" i="1"/>
  <c r="Q357" i="1"/>
  <c r="L357" i="1"/>
  <c r="G357" i="1"/>
  <c r="BA356" i="1"/>
  <c r="BA355" i="1"/>
  <c r="BA354" i="1"/>
  <c r="BA353" i="1"/>
  <c r="BA352" i="1"/>
  <c r="BA351" i="1"/>
  <c r="AA351" i="1"/>
  <c r="V351" i="1"/>
  <c r="Q351" i="1"/>
  <c r="L351" i="1"/>
  <c r="G351" i="1"/>
  <c r="BA350" i="1"/>
  <c r="BA349" i="1"/>
  <c r="BA348" i="1"/>
  <c r="BA347" i="1"/>
  <c r="BA346" i="1"/>
  <c r="BA345" i="1"/>
  <c r="AA345" i="1"/>
  <c r="V345" i="1"/>
  <c r="Q345" i="1"/>
  <c r="L345" i="1"/>
  <c r="G345" i="1"/>
  <c r="BA344" i="1"/>
  <c r="BA343" i="1"/>
  <c r="BA342" i="1"/>
  <c r="BA341" i="1"/>
  <c r="BA340" i="1"/>
  <c r="BA339" i="1"/>
  <c r="AA339" i="1"/>
  <c r="V339" i="1"/>
  <c r="Q339" i="1"/>
  <c r="L339" i="1"/>
  <c r="G339" i="1"/>
  <c r="BA338" i="1"/>
  <c r="BA337" i="1"/>
  <c r="BA336" i="1"/>
  <c r="BA335" i="1"/>
  <c r="BA334" i="1"/>
  <c r="BA333" i="1"/>
  <c r="BA332" i="1"/>
  <c r="BA331" i="1"/>
  <c r="AA331" i="1"/>
  <c r="V331" i="1"/>
  <c r="Q331" i="1"/>
  <c r="L331" i="1"/>
  <c r="G331" i="1"/>
  <c r="BA330" i="1"/>
  <c r="BA329" i="1"/>
  <c r="BA328" i="1"/>
  <c r="BA327" i="1"/>
  <c r="BA326" i="1"/>
  <c r="BA325" i="1"/>
  <c r="BA324" i="1"/>
  <c r="AA324" i="1"/>
  <c r="V324" i="1"/>
  <c r="Q324" i="1"/>
  <c r="L324" i="1"/>
  <c r="G324" i="1"/>
  <c r="BA323" i="1"/>
  <c r="BA322" i="1"/>
  <c r="BA321" i="1"/>
  <c r="BA320" i="1"/>
  <c r="BA319" i="1"/>
  <c r="BA318" i="1"/>
  <c r="AA318" i="1"/>
  <c r="V318" i="1"/>
  <c r="Q318" i="1"/>
  <c r="L318" i="1"/>
  <c r="G318" i="1"/>
  <c r="BA317" i="1"/>
  <c r="BA316" i="1"/>
  <c r="BA315" i="1"/>
  <c r="BA314" i="1"/>
  <c r="BA313" i="1"/>
  <c r="BA312" i="1"/>
  <c r="BA311" i="1"/>
  <c r="AA311" i="1"/>
  <c r="AA420" i="1" s="1"/>
  <c r="V311" i="1"/>
  <c r="Q311" i="1"/>
  <c r="Q420" i="1" s="1"/>
  <c r="L311" i="1"/>
  <c r="G311" i="1"/>
  <c r="G420" i="1" s="1"/>
  <c r="BA310" i="1"/>
  <c r="BA309" i="1"/>
  <c r="BA308" i="1"/>
  <c r="BA307" i="1"/>
  <c r="BA306" i="1"/>
  <c r="BA305" i="1"/>
  <c r="AA305" i="1"/>
  <c r="V305" i="1"/>
  <c r="V420" i="1" s="1"/>
  <c r="Q305" i="1"/>
  <c r="L305" i="1"/>
  <c r="L420" i="1" s="1"/>
  <c r="G305" i="1"/>
  <c r="BA304" i="1"/>
  <c r="BA303" i="1"/>
  <c r="BA302" i="1"/>
  <c r="AV299" i="1"/>
  <c r="AR299" i="1"/>
  <c r="AM299" i="1"/>
  <c r="AH299" i="1"/>
  <c r="AG299" i="1"/>
  <c r="BA299" i="1" s="1"/>
  <c r="AC299" i="1"/>
  <c r="AV298" i="1"/>
  <c r="AR298" i="1"/>
  <c r="AM298" i="1"/>
  <c r="AH298" i="1"/>
  <c r="AC298" i="1"/>
  <c r="AG298" i="1" s="1"/>
  <c r="BA298" i="1" s="1"/>
  <c r="AV297" i="1"/>
  <c r="AR297" i="1"/>
  <c r="AM297" i="1"/>
  <c r="AH297" i="1"/>
  <c r="AC297" i="1"/>
  <c r="AG297" i="1" s="1"/>
  <c r="BA297" i="1" s="1"/>
  <c r="BA296" i="1"/>
  <c r="AV296" i="1"/>
  <c r="AR296" i="1"/>
  <c r="AM296" i="1"/>
  <c r="AH296" i="1"/>
  <c r="AG296" i="1"/>
  <c r="AC296" i="1"/>
  <c r="AV295" i="1"/>
  <c r="AR295" i="1"/>
  <c r="AM295" i="1"/>
  <c r="AH295" i="1"/>
  <c r="AG295" i="1"/>
  <c r="BA295" i="1" s="1"/>
  <c r="AC295" i="1"/>
  <c r="AV294" i="1"/>
  <c r="AR294" i="1"/>
  <c r="AM294" i="1"/>
  <c r="AH294" i="1"/>
  <c r="AC294" i="1"/>
  <c r="AG294" i="1" s="1"/>
  <c r="BA294" i="1" s="1"/>
  <c r="AV293" i="1"/>
  <c r="AR293" i="1"/>
  <c r="AM293" i="1"/>
  <c r="AH293" i="1"/>
  <c r="AG293" i="1"/>
  <c r="BA293" i="1" s="1"/>
  <c r="AC293" i="1"/>
  <c r="AR292" i="1"/>
  <c r="AM292" i="1"/>
  <c r="AH292" i="1"/>
  <c r="AR291" i="1"/>
  <c r="AM291" i="1"/>
  <c r="AH291" i="1"/>
  <c r="AR290" i="1"/>
  <c r="AM290" i="1"/>
  <c r="AH290" i="1"/>
  <c r="AV289" i="1"/>
  <c r="AR289" i="1"/>
  <c r="AM289" i="1"/>
  <c r="AH289" i="1"/>
  <c r="AG289" i="1"/>
  <c r="BA289" i="1" s="1"/>
  <c r="AC289" i="1"/>
  <c r="AV288" i="1"/>
  <c r="AR288" i="1"/>
  <c r="AM288" i="1"/>
  <c r="AH288" i="1"/>
  <c r="AC288" i="1"/>
  <c r="AG288" i="1" s="1"/>
  <c r="BA288" i="1" s="1"/>
  <c r="AR287" i="1"/>
  <c r="AM287" i="1"/>
  <c r="AH287" i="1"/>
  <c r="AV286" i="1"/>
  <c r="AR286" i="1"/>
  <c r="AM286" i="1"/>
  <c r="AH286" i="1"/>
  <c r="AC286" i="1"/>
  <c r="AG286" i="1" s="1"/>
  <c r="BA286" i="1" s="1"/>
  <c r="AV285" i="1"/>
  <c r="AR285" i="1"/>
  <c r="AM285" i="1"/>
  <c r="AH285" i="1"/>
  <c r="AG285" i="1"/>
  <c r="BA285" i="1" s="1"/>
  <c r="AC285" i="1"/>
  <c r="AR284" i="1"/>
  <c r="AM284" i="1"/>
  <c r="AH284" i="1"/>
  <c r="AR283" i="1"/>
  <c r="AM283" i="1"/>
  <c r="AH283" i="1"/>
  <c r="AR282" i="1"/>
  <c r="AM282" i="1"/>
  <c r="AH282" i="1"/>
  <c r="AV281" i="1"/>
  <c r="AR281" i="1"/>
  <c r="AM281" i="1"/>
  <c r="AH281" i="1"/>
  <c r="AG281" i="1"/>
  <c r="BA281" i="1" s="1"/>
  <c r="AC281" i="1"/>
  <c r="AV280" i="1"/>
  <c r="AR280" i="1"/>
  <c r="AM280" i="1"/>
  <c r="AH280" i="1"/>
  <c r="AC280" i="1"/>
  <c r="AG280" i="1" s="1"/>
  <c r="BA280" i="1" s="1"/>
  <c r="AR279" i="1"/>
  <c r="AM279" i="1"/>
  <c r="AH279" i="1"/>
  <c r="AV278" i="1"/>
  <c r="AR278" i="1"/>
  <c r="AM278" i="1"/>
  <c r="AH278" i="1"/>
  <c r="AC278" i="1"/>
  <c r="AG278" i="1" s="1"/>
  <c r="BA278" i="1" s="1"/>
  <c r="AV277" i="1"/>
  <c r="AR277" i="1"/>
  <c r="AM277" i="1"/>
  <c r="AH277" i="1"/>
  <c r="AG277" i="1"/>
  <c r="BA277" i="1" s="1"/>
  <c r="AC277" i="1"/>
  <c r="AR276" i="1"/>
  <c r="AM276" i="1"/>
  <c r="AH276" i="1"/>
  <c r="AR275" i="1"/>
  <c r="AM275" i="1"/>
  <c r="AH275" i="1"/>
  <c r="AR274" i="1"/>
  <c r="AM274" i="1"/>
  <c r="AH274" i="1"/>
  <c r="AV273" i="1"/>
  <c r="AR273" i="1"/>
  <c r="AM273" i="1"/>
  <c r="AH273" i="1"/>
  <c r="AG273" i="1"/>
  <c r="BA273" i="1" s="1"/>
  <c r="AC273" i="1"/>
  <c r="AV272" i="1"/>
  <c r="AR272" i="1"/>
  <c r="AM272" i="1"/>
  <c r="AH272" i="1"/>
  <c r="AC272" i="1"/>
  <c r="AG272" i="1" s="1"/>
  <c r="BA272" i="1" s="1"/>
  <c r="AV271" i="1"/>
  <c r="AR271" i="1"/>
  <c r="AM271" i="1"/>
  <c r="AH271" i="1"/>
  <c r="AG271" i="1"/>
  <c r="BA271" i="1" s="1"/>
  <c r="AC271" i="1"/>
  <c r="AR270" i="1"/>
  <c r="AM270" i="1"/>
  <c r="AH270" i="1"/>
  <c r="AR269" i="1"/>
  <c r="AM269" i="1"/>
  <c r="AH269" i="1"/>
  <c r="BA268" i="1"/>
  <c r="AV268" i="1"/>
  <c r="AR268" i="1"/>
  <c r="AM268" i="1"/>
  <c r="AH268" i="1"/>
  <c r="AG268" i="1"/>
  <c r="AC268" i="1"/>
  <c r="AV267" i="1"/>
  <c r="AR267" i="1"/>
  <c r="AM267" i="1"/>
  <c r="AH267" i="1"/>
  <c r="AG267" i="1"/>
  <c r="BA267" i="1" s="1"/>
  <c r="AC267" i="1"/>
  <c r="AR266" i="1"/>
  <c r="AM266" i="1"/>
  <c r="AH266" i="1"/>
  <c r="AR265" i="1"/>
  <c r="AM265" i="1"/>
  <c r="AH265" i="1"/>
  <c r="AR264" i="1"/>
  <c r="AM264" i="1"/>
  <c r="AH264" i="1"/>
  <c r="AV263" i="1"/>
  <c r="AR263" i="1"/>
  <c r="AM263" i="1"/>
  <c r="AH263" i="1"/>
  <c r="AG263" i="1"/>
  <c r="BA263" i="1" s="1"/>
  <c r="AC263" i="1"/>
  <c r="AV262" i="1"/>
  <c r="AR262" i="1"/>
  <c r="AM262" i="1"/>
  <c r="AH262" i="1"/>
  <c r="AC262" i="1"/>
  <c r="AG262" i="1" s="1"/>
  <c r="BA262" i="1" s="1"/>
  <c r="AV261" i="1"/>
  <c r="AR261" i="1"/>
  <c r="AM261" i="1"/>
  <c r="AH261" i="1"/>
  <c r="AG261" i="1"/>
  <c r="BA261" i="1" s="1"/>
  <c r="AC261" i="1"/>
  <c r="AV260" i="1"/>
  <c r="AR260" i="1"/>
  <c r="AM260" i="1"/>
  <c r="AH260" i="1"/>
  <c r="AC260" i="1"/>
  <c r="AG260" i="1" s="1"/>
  <c r="BA260" i="1" s="1"/>
  <c r="AV259" i="1"/>
  <c r="AV420" i="1" s="1"/>
  <c r="AR259" i="1"/>
  <c r="AM259" i="1"/>
  <c r="AH259" i="1"/>
  <c r="AG259" i="1"/>
  <c r="BA259" i="1" s="1"/>
  <c r="AC259" i="1"/>
  <c r="AV258" i="1"/>
  <c r="AR258" i="1"/>
  <c r="AM258" i="1"/>
  <c r="AH258" i="1"/>
  <c r="AC258" i="1"/>
  <c r="AG258" i="1" s="1"/>
  <c r="AV253" i="1"/>
  <c r="AQ253" i="1"/>
  <c r="AL253" i="1"/>
  <c r="AL486" i="1" s="1"/>
  <c r="AL499" i="1" s="1"/>
  <c r="Q253" i="1"/>
  <c r="G253" i="1"/>
  <c r="G486" i="1" s="1"/>
  <c r="G499" i="1" s="1"/>
  <c r="BA252" i="1"/>
  <c r="BA251" i="1"/>
  <c r="BA250" i="1"/>
  <c r="BA249" i="1"/>
  <c r="BA248" i="1"/>
  <c r="BA247" i="1"/>
  <c r="BA246" i="1"/>
  <c r="AA246" i="1"/>
  <c r="V246" i="1"/>
  <c r="Q246" i="1"/>
  <c r="L246" i="1"/>
  <c r="G246" i="1"/>
  <c r="BA245" i="1"/>
  <c r="BA244" i="1"/>
  <c r="BA243" i="1"/>
  <c r="BA242" i="1"/>
  <c r="BA241" i="1"/>
  <c r="BA240" i="1"/>
  <c r="AA240" i="1"/>
  <c r="V240" i="1"/>
  <c r="Q240" i="1"/>
  <c r="L240" i="1"/>
  <c r="G240" i="1"/>
  <c r="BA239" i="1"/>
  <c r="BA238" i="1"/>
  <c r="BA237" i="1"/>
  <c r="BA236" i="1"/>
  <c r="BA235" i="1"/>
  <c r="BA234" i="1"/>
  <c r="BA233" i="1"/>
  <c r="BA232" i="1"/>
  <c r="BA231" i="1"/>
  <c r="BA230" i="1"/>
  <c r="AA230" i="1"/>
  <c r="V230" i="1"/>
  <c r="Q230" i="1"/>
  <c r="L230" i="1"/>
  <c r="G230" i="1"/>
  <c r="BA229" i="1"/>
  <c r="BA228" i="1"/>
  <c r="BA227" i="1"/>
  <c r="BA226" i="1"/>
  <c r="BA225" i="1"/>
  <c r="BA224" i="1"/>
  <c r="AA224" i="1"/>
  <c r="V224" i="1"/>
  <c r="Q224" i="1"/>
  <c r="L224" i="1"/>
  <c r="G224" i="1"/>
  <c r="BA223" i="1"/>
  <c r="BA222" i="1"/>
  <c r="BA221" i="1"/>
  <c r="BA220" i="1"/>
  <c r="BA219" i="1"/>
  <c r="BA218" i="1"/>
  <c r="BA217" i="1"/>
  <c r="BA216" i="1"/>
  <c r="BA215" i="1"/>
  <c r="BA214" i="1"/>
  <c r="AA214" i="1"/>
  <c r="V214" i="1"/>
  <c r="Q214" i="1"/>
  <c r="L214" i="1"/>
  <c r="G214" i="1"/>
  <c r="BA213" i="1"/>
  <c r="BA212" i="1"/>
  <c r="BA211" i="1"/>
  <c r="BA210" i="1"/>
  <c r="BA209" i="1"/>
  <c r="BA208" i="1"/>
  <c r="BA207" i="1"/>
  <c r="BA206" i="1"/>
  <c r="AA206" i="1"/>
  <c r="V206" i="1"/>
  <c r="Q206" i="1"/>
  <c r="L206" i="1"/>
  <c r="G206" i="1"/>
  <c r="BA205" i="1"/>
  <c r="BA204" i="1"/>
  <c r="BA203" i="1"/>
  <c r="BA202" i="1"/>
  <c r="BA201" i="1"/>
  <c r="BA200" i="1"/>
  <c r="BA199" i="1"/>
  <c r="AA199" i="1"/>
  <c r="V199" i="1"/>
  <c r="Q199" i="1"/>
  <c r="L199" i="1"/>
  <c r="G199" i="1"/>
  <c r="BA198" i="1"/>
  <c r="BA197" i="1"/>
  <c r="BA196" i="1"/>
  <c r="BA195" i="1"/>
  <c r="BA194" i="1"/>
  <c r="BA193" i="1"/>
  <c r="BA192" i="1"/>
  <c r="BA191" i="1"/>
  <c r="AA191" i="1"/>
  <c r="V191" i="1"/>
  <c r="Q191" i="1"/>
  <c r="L191" i="1"/>
  <c r="G191" i="1"/>
  <c r="BA190" i="1"/>
  <c r="BA189" i="1"/>
  <c r="BA188" i="1"/>
  <c r="BA187" i="1"/>
  <c r="BA186" i="1"/>
  <c r="BA185" i="1"/>
  <c r="AA185" i="1"/>
  <c r="V185" i="1"/>
  <c r="Q185" i="1"/>
  <c r="L185" i="1"/>
  <c r="G185" i="1"/>
  <c r="BA184" i="1"/>
  <c r="BA183" i="1"/>
  <c r="BA182" i="1"/>
  <c r="BA181" i="1"/>
  <c r="BA178" i="1"/>
  <c r="AA178" i="1"/>
  <c r="AA253" i="1" s="1"/>
  <c r="V178" i="1"/>
  <c r="V253" i="1" s="1"/>
  <c r="V486" i="1" s="1"/>
  <c r="V499" i="1" s="1"/>
  <c r="Q178" i="1"/>
  <c r="L178" i="1"/>
  <c r="L253" i="1" s="1"/>
  <c r="G178" i="1"/>
  <c r="AR173" i="1"/>
  <c r="AM173" i="1"/>
  <c r="AH173" i="1"/>
  <c r="AG173" i="1"/>
  <c r="BA173" i="1" s="1"/>
  <c r="AC173" i="1"/>
  <c r="AR172" i="1"/>
  <c r="AM172" i="1"/>
  <c r="AH172" i="1"/>
  <c r="AG172" i="1"/>
  <c r="BA172" i="1" s="1"/>
  <c r="AC172" i="1"/>
  <c r="AR171" i="1"/>
  <c r="AM171" i="1"/>
  <c r="AH171" i="1"/>
  <c r="AC171" i="1"/>
  <c r="AG171" i="1" s="1"/>
  <c r="BA171" i="1" s="1"/>
  <c r="BA170" i="1"/>
  <c r="AR170" i="1"/>
  <c r="AM170" i="1"/>
  <c r="AH170" i="1"/>
  <c r="AG170" i="1"/>
  <c r="AC170" i="1"/>
  <c r="AR169" i="1"/>
  <c r="AM169" i="1"/>
  <c r="AH169" i="1"/>
  <c r="AG169" i="1"/>
  <c r="BA169" i="1" s="1"/>
  <c r="AC169" i="1"/>
  <c r="AR168" i="1"/>
  <c r="AM168" i="1"/>
  <c r="AH168" i="1"/>
  <c r="AG168" i="1"/>
  <c r="BA168" i="1" s="1"/>
  <c r="AC168" i="1"/>
  <c r="AR167" i="1"/>
  <c r="AM167" i="1"/>
  <c r="AH167" i="1"/>
  <c r="AC167" i="1"/>
  <c r="AG167" i="1" s="1"/>
  <c r="BA167" i="1" s="1"/>
  <c r="BA163" i="1"/>
  <c r="AR163" i="1"/>
  <c r="AM163" i="1"/>
  <c r="AH163" i="1"/>
  <c r="AG163" i="1"/>
  <c r="AC163" i="1"/>
  <c r="AR162" i="1"/>
  <c r="AM162" i="1"/>
  <c r="AH162" i="1"/>
  <c r="AG162" i="1"/>
  <c r="BA162" i="1" s="1"/>
  <c r="AC162" i="1"/>
  <c r="AR161" i="1"/>
  <c r="AM161" i="1"/>
  <c r="AH161" i="1"/>
  <c r="AR160" i="1"/>
  <c r="AM160" i="1"/>
  <c r="AH160" i="1"/>
  <c r="AC160" i="1"/>
  <c r="AG160" i="1" s="1"/>
  <c r="BA160" i="1" s="1"/>
  <c r="AR159" i="1"/>
  <c r="AM159" i="1"/>
  <c r="AH159" i="1"/>
  <c r="AC159" i="1"/>
  <c r="AG159" i="1" s="1"/>
  <c r="BA159" i="1" s="1"/>
  <c r="AR158" i="1"/>
  <c r="AM158" i="1"/>
  <c r="AH158" i="1"/>
  <c r="AR155" i="1"/>
  <c r="AM155" i="1"/>
  <c r="AH155" i="1"/>
  <c r="AG155" i="1"/>
  <c r="BA155" i="1" s="1"/>
  <c r="AC155" i="1"/>
  <c r="AR154" i="1"/>
  <c r="AM154" i="1"/>
  <c r="AH154" i="1"/>
  <c r="AG154" i="1"/>
  <c r="BA154" i="1" s="1"/>
  <c r="AC154" i="1"/>
  <c r="AR153" i="1"/>
  <c r="AM153" i="1"/>
  <c r="AH153" i="1"/>
  <c r="AR152" i="1"/>
  <c r="AM152" i="1"/>
  <c r="AH152" i="1"/>
  <c r="AC152" i="1"/>
  <c r="AG152" i="1" s="1"/>
  <c r="BA152" i="1" s="1"/>
  <c r="AR151" i="1"/>
  <c r="AM151" i="1"/>
  <c r="AH151" i="1"/>
  <c r="AC151" i="1"/>
  <c r="AG151" i="1" s="1"/>
  <c r="BA151" i="1" s="1"/>
  <c r="AR150" i="1"/>
  <c r="AM150" i="1"/>
  <c r="AH150" i="1"/>
  <c r="AR147" i="1"/>
  <c r="AM147" i="1"/>
  <c r="AH147" i="1"/>
  <c r="AG147" i="1"/>
  <c r="BA147" i="1" s="1"/>
  <c r="AC147" i="1"/>
  <c r="AR146" i="1"/>
  <c r="AM146" i="1"/>
  <c r="AH146" i="1"/>
  <c r="AC146" i="1"/>
  <c r="AG146" i="1" s="1"/>
  <c r="BA146" i="1" s="1"/>
  <c r="BA145" i="1"/>
  <c r="AR145" i="1"/>
  <c r="AM145" i="1"/>
  <c r="AH145" i="1"/>
  <c r="AG145" i="1"/>
  <c r="AC145" i="1"/>
  <c r="AR144" i="1"/>
  <c r="AM144" i="1"/>
  <c r="AH144" i="1"/>
  <c r="BA142" i="1"/>
  <c r="AR142" i="1"/>
  <c r="AM142" i="1"/>
  <c r="AH142" i="1"/>
  <c r="AG142" i="1"/>
  <c r="AC142" i="1"/>
  <c r="AR141" i="1"/>
  <c r="AM141" i="1"/>
  <c r="AH141" i="1"/>
  <c r="AC141" i="1"/>
  <c r="AG141" i="1" s="1"/>
  <c r="BA141" i="1" s="1"/>
  <c r="AR140" i="1"/>
  <c r="AM140" i="1"/>
  <c r="AH140" i="1"/>
  <c r="AR139" i="1"/>
  <c r="AM139" i="1"/>
  <c r="AH139" i="1"/>
  <c r="AR138" i="1"/>
  <c r="AM138" i="1"/>
  <c r="AH138" i="1"/>
  <c r="AR137" i="1"/>
  <c r="AM137" i="1"/>
  <c r="AH137" i="1"/>
  <c r="AG137" i="1"/>
  <c r="BA137" i="1" s="1"/>
  <c r="AC137" i="1"/>
  <c r="AR136" i="1"/>
  <c r="AM136" i="1"/>
  <c r="AH136" i="1"/>
  <c r="AG136" i="1"/>
  <c r="BA136" i="1" s="1"/>
  <c r="AC136" i="1"/>
  <c r="AR135" i="1"/>
  <c r="AM135" i="1"/>
  <c r="AH135" i="1"/>
  <c r="AC135" i="1"/>
  <c r="AG135" i="1" s="1"/>
  <c r="BA135" i="1" s="1"/>
  <c r="BA134" i="1"/>
  <c r="AR134" i="1"/>
  <c r="AM134" i="1"/>
  <c r="AH134" i="1"/>
  <c r="AG134" i="1"/>
  <c r="AC134" i="1"/>
  <c r="AR133" i="1"/>
  <c r="AM133" i="1"/>
  <c r="AH133" i="1"/>
  <c r="AG133" i="1"/>
  <c r="BA133" i="1" s="1"/>
  <c r="AC133" i="1"/>
  <c r="AR132" i="1"/>
  <c r="AM132" i="1"/>
  <c r="AH132" i="1"/>
  <c r="AG132" i="1"/>
  <c r="BA132" i="1" s="1"/>
  <c r="AC132" i="1"/>
  <c r="AR125" i="1"/>
  <c r="AM125" i="1"/>
  <c r="AH125" i="1"/>
  <c r="AC125" i="1"/>
  <c r="AG125" i="1" s="1"/>
  <c r="AG124" i="1" s="1"/>
  <c r="AV124" i="1"/>
  <c r="AQ124" i="1"/>
  <c r="AL124" i="1"/>
  <c r="BA122" i="1"/>
  <c r="BA121" i="1"/>
  <c r="BA120" i="1"/>
  <c r="BA119" i="1"/>
  <c r="BA118" i="1" s="1"/>
  <c r="AG118" i="1"/>
  <c r="BA117" i="1"/>
  <c r="BA116" i="1"/>
  <c r="BA115" i="1"/>
  <c r="BA114" i="1" s="1"/>
  <c r="AV114" i="1"/>
  <c r="AQ114" i="1"/>
  <c r="AQ113" i="1" s="1"/>
  <c r="AL114" i="1"/>
  <c r="AL112" i="1" s="1"/>
  <c r="AG114" i="1"/>
  <c r="AV113" i="1"/>
  <c r="AV112" i="1"/>
  <c r="AQ112" i="1"/>
  <c r="AR110" i="1"/>
  <c r="AM110" i="1"/>
  <c r="AH110" i="1"/>
  <c r="AC110" i="1"/>
  <c r="AG110" i="1" s="1"/>
  <c r="BA110" i="1" s="1"/>
  <c r="AR109" i="1"/>
  <c r="AM109" i="1"/>
  <c r="AH109" i="1"/>
  <c r="AC109" i="1"/>
  <c r="AG109" i="1" s="1"/>
  <c r="BA109" i="1" s="1"/>
  <c r="BA108" i="1"/>
  <c r="AR108" i="1"/>
  <c r="AM108" i="1"/>
  <c r="AH108" i="1"/>
  <c r="AG108" i="1"/>
  <c r="AC108" i="1"/>
  <c r="AR107" i="1"/>
  <c r="AM107" i="1"/>
  <c r="AH107" i="1"/>
  <c r="AC107" i="1"/>
  <c r="AG107" i="1" s="1"/>
  <c r="BA107" i="1" s="1"/>
  <c r="AR106" i="1"/>
  <c r="AM106" i="1"/>
  <c r="AH106" i="1"/>
  <c r="AC106" i="1"/>
  <c r="AG106" i="1" s="1"/>
  <c r="AR105" i="1"/>
  <c r="AM105" i="1"/>
  <c r="AH105" i="1"/>
  <c r="AC105" i="1"/>
  <c r="BA104" i="1"/>
  <c r="AR104" i="1"/>
  <c r="AM104" i="1"/>
  <c r="AH104" i="1"/>
  <c r="AG104" i="1"/>
  <c r="AC104" i="1"/>
  <c r="AR103" i="1"/>
  <c r="AM103" i="1"/>
  <c r="AH103" i="1"/>
  <c r="AC103" i="1"/>
  <c r="AG103" i="1" s="1"/>
  <c r="AV102" i="1"/>
  <c r="AQ102" i="1"/>
  <c r="AL102" i="1"/>
  <c r="AL101" i="1" s="1"/>
  <c r="AV101" i="1"/>
  <c r="AQ101" i="1"/>
  <c r="BA99" i="1"/>
  <c r="BA98" i="1"/>
  <c r="AV98" i="1"/>
  <c r="AQ98" i="1"/>
  <c r="AL98" i="1"/>
  <c r="AG98" i="1"/>
  <c r="BA96" i="1"/>
  <c r="BA95" i="1"/>
  <c r="BA94" i="1"/>
  <c r="BA93" i="1"/>
  <c r="BA92" i="1"/>
  <c r="BA91" i="1"/>
  <c r="BA90" i="1"/>
  <c r="BA89" i="1"/>
  <c r="BA88" i="1"/>
  <c r="BA87" i="1"/>
  <c r="BA86" i="1"/>
  <c r="BA85" i="1"/>
  <c r="BA84" i="1"/>
  <c r="BA83" i="1"/>
  <c r="BA82" i="1"/>
  <c r="BA81" i="1"/>
  <c r="BA80" i="1"/>
  <c r="BA79" i="1"/>
  <c r="BA78" i="1"/>
  <c r="BA77" i="1"/>
  <c r="BA76" i="1"/>
  <c r="BA75" i="1"/>
  <c r="BA74" i="1"/>
  <c r="BA73" i="1"/>
  <c r="BA72" i="1"/>
  <c r="BA71" i="1"/>
  <c r="AV70" i="1"/>
  <c r="AQ70" i="1"/>
  <c r="AL70" i="1"/>
  <c r="AG70" i="1"/>
  <c r="BA68" i="1"/>
  <c r="AV68" i="1"/>
  <c r="AQ68" i="1"/>
  <c r="AL68" i="1"/>
  <c r="AV67" i="1"/>
  <c r="AQ67" i="1"/>
  <c r="BA67" i="1" s="1"/>
  <c r="AL67" i="1"/>
  <c r="BA66" i="1"/>
  <c r="AV66" i="1"/>
  <c r="AQ66" i="1"/>
  <c r="AL66" i="1"/>
  <c r="AV65" i="1"/>
  <c r="AQ65" i="1"/>
  <c r="BA65" i="1" s="1"/>
  <c r="AL65" i="1"/>
  <c r="BA64" i="1"/>
  <c r="AV64" i="1"/>
  <c r="AQ64" i="1"/>
  <c r="AL64" i="1"/>
  <c r="AV63" i="1"/>
  <c r="AQ63" i="1"/>
  <c r="BA63" i="1" s="1"/>
  <c r="AL63" i="1"/>
  <c r="BA61" i="1"/>
  <c r="AV61" i="1"/>
  <c r="AQ61" i="1"/>
  <c r="AL61" i="1"/>
  <c r="AV60" i="1"/>
  <c r="AQ60" i="1"/>
  <c r="BA60" i="1" s="1"/>
  <c r="AL60" i="1"/>
  <c r="BA59" i="1"/>
  <c r="AV59" i="1"/>
  <c r="AQ59" i="1"/>
  <c r="AL59" i="1"/>
  <c r="AV58" i="1"/>
  <c r="AQ58" i="1"/>
  <c r="BA58" i="1" s="1"/>
  <c r="AL58" i="1"/>
  <c r="BA57" i="1"/>
  <c r="AV57" i="1"/>
  <c r="AQ57" i="1"/>
  <c r="AL57" i="1"/>
  <c r="AV56" i="1"/>
  <c r="AQ56" i="1"/>
  <c r="BA56" i="1" s="1"/>
  <c r="AL56" i="1"/>
  <c r="BA55" i="1"/>
  <c r="AV55" i="1"/>
  <c r="AQ55" i="1"/>
  <c r="AL55" i="1"/>
  <c r="BA54" i="1"/>
  <c r="BA53" i="1"/>
  <c r="BA52" i="1"/>
  <c r="AV52" i="1"/>
  <c r="AQ52" i="1"/>
  <c r="AL52" i="1"/>
  <c r="AV51" i="1"/>
  <c r="AQ51" i="1"/>
  <c r="AL51" i="1"/>
  <c r="BA51" i="1" s="1"/>
  <c r="BA50" i="1"/>
  <c r="AV50" i="1"/>
  <c r="AQ50" i="1"/>
  <c r="AL50" i="1"/>
  <c r="AV49" i="1"/>
  <c r="AV47" i="1" s="1"/>
  <c r="AQ49" i="1"/>
  <c r="AQ47" i="1" s="1"/>
  <c r="AL49" i="1"/>
  <c r="AL47" i="1" s="1"/>
  <c r="AG47" i="1"/>
  <c r="BA45" i="1"/>
  <c r="BA44" i="1"/>
  <c r="BA43" i="1"/>
  <c r="BA41" i="1"/>
  <c r="AV41" i="1"/>
  <c r="AQ41" i="1"/>
  <c r="AL41" i="1"/>
  <c r="AG41" i="1"/>
  <c r="BA39" i="1"/>
  <c r="BA38" i="1"/>
  <c r="AG38" i="1"/>
  <c r="BA37" i="1"/>
  <c r="BA36" i="1"/>
  <c r="BA35" i="1"/>
  <c r="BA34" i="1"/>
  <c r="BA33" i="1"/>
  <c r="BA32" i="1"/>
  <c r="BA31" i="1"/>
  <c r="BA30" i="1"/>
  <c r="BA29" i="1"/>
  <c r="BA28" i="1"/>
  <c r="BA27" i="1"/>
  <c r="BA26" i="1"/>
  <c r="BA25" i="1"/>
  <c r="BA24" i="1"/>
  <c r="BA23" i="1"/>
  <c r="BA22" i="1"/>
  <c r="BA21" i="1"/>
  <c r="BA15" i="1" s="1"/>
  <c r="BA20" i="1"/>
  <c r="BA19" i="1"/>
  <c r="BA18" i="1"/>
  <c r="BA17" i="1"/>
  <c r="BA16" i="1"/>
  <c r="AV15" i="1"/>
  <c r="AV14" i="1" s="1"/>
  <c r="AQ15" i="1"/>
  <c r="AL15" i="1"/>
  <c r="AG15" i="1"/>
  <c r="AG14" i="1" s="1"/>
  <c r="BA258" i="1" l="1"/>
  <c r="BA420" i="1" s="1"/>
  <c r="AG420" i="1"/>
  <c r="AG494" i="1"/>
  <c r="BA495" i="1"/>
  <c r="BA494" i="1" s="1"/>
  <c r="AG700" i="1"/>
  <c r="BA614" i="1"/>
  <c r="BA700" i="1" s="1"/>
  <c r="AA717" i="1"/>
  <c r="AA719" i="1" s="1"/>
  <c r="G720" i="1"/>
  <c r="G721" i="1" s="1"/>
  <c r="BA125" i="1"/>
  <c r="BA124" i="1" s="1"/>
  <c r="L486" i="1"/>
  <c r="L499" i="1" s="1"/>
  <c r="AL717" i="1"/>
  <c r="AQ14" i="1"/>
  <c r="BA113" i="1"/>
  <c r="BA112" i="1"/>
  <c r="L702" i="1"/>
  <c r="L715" i="1" s="1"/>
  <c r="L717" i="1" s="1"/>
  <c r="L719" i="1" s="1"/>
  <c r="AQ717" i="1"/>
  <c r="AV13" i="1"/>
  <c r="AV728" i="1"/>
  <c r="BA70" i="1"/>
  <c r="BA253" i="1"/>
  <c r="AG484" i="1"/>
  <c r="BA425" i="1"/>
  <c r="BA484" i="1" s="1"/>
  <c r="Q702" i="1"/>
  <c r="Q715" i="1" s="1"/>
  <c r="Q717" i="1" s="1"/>
  <c r="Q719" i="1" s="1"/>
  <c r="AV717" i="1"/>
  <c r="AA486" i="1"/>
  <c r="AA499" i="1" s="1"/>
  <c r="Q486" i="1"/>
  <c r="Q499" i="1" s="1"/>
  <c r="BA489" i="1"/>
  <c r="BA488" i="1" s="1"/>
  <c r="AG488" i="1"/>
  <c r="AG609" i="1"/>
  <c r="BA506" i="1"/>
  <c r="BA609" i="1" s="1"/>
  <c r="V702" i="1"/>
  <c r="V715" i="1" s="1"/>
  <c r="V717" i="1" s="1"/>
  <c r="V719" i="1" s="1"/>
  <c r="BA704" i="1"/>
  <c r="BA106" i="1"/>
  <c r="BA105" i="1" s="1"/>
  <c r="AG105" i="1"/>
  <c r="AG112" i="1"/>
  <c r="AG113" i="1"/>
  <c r="AL14" i="1"/>
  <c r="AG102" i="1"/>
  <c r="AG101" i="1" s="1"/>
  <c r="BA103" i="1"/>
  <c r="BA102" i="1" s="1"/>
  <c r="BA101" i="1" s="1"/>
  <c r="AG710" i="1"/>
  <c r="BA49" i="1"/>
  <c r="BA47" i="1" s="1"/>
  <c r="BA14" i="1" s="1"/>
  <c r="AL113" i="1"/>
  <c r="AG253" i="1"/>
  <c r="AG704" i="1"/>
  <c r="BA728" i="1" l="1"/>
  <c r="Q720" i="1"/>
  <c r="Q721" i="1" s="1"/>
  <c r="AG731" i="1"/>
  <c r="AG13" i="1"/>
  <c r="AL13" i="1"/>
  <c r="AL728" i="1"/>
  <c r="BA486" i="1"/>
  <c r="BA499" i="1" s="1"/>
  <c r="AQ13" i="1"/>
  <c r="AQ719" i="1" s="1"/>
  <c r="AQ728" i="1"/>
  <c r="V720" i="1"/>
  <c r="V721" i="1"/>
  <c r="L720" i="1"/>
  <c r="L721" i="1"/>
  <c r="AG486" i="1"/>
  <c r="AL719" i="1"/>
  <c r="AA721" i="1"/>
  <c r="AA720" i="1"/>
  <c r="BA702" i="1"/>
  <c r="BA715" i="1" s="1"/>
  <c r="AG702" i="1"/>
  <c r="AG715" i="1" s="1"/>
  <c r="AV719" i="1"/>
  <c r="AQ720" i="1" l="1"/>
  <c r="AQ721" i="1" s="1"/>
  <c r="AL721" i="1"/>
  <c r="AL720" i="1"/>
  <c r="AG499" i="1"/>
  <c r="AG728" i="1"/>
  <c r="AV720" i="1"/>
  <c r="AV721" i="1" s="1"/>
  <c r="BA13" i="1"/>
  <c r="AG717" i="1"/>
  <c r="AG719" i="1" s="1"/>
  <c r="BA717" i="1"/>
  <c r="BA719" i="1" s="1"/>
  <c r="AG730" i="1" l="1"/>
  <c r="AG732" i="1" s="1"/>
  <c r="AG720" i="1"/>
  <c r="AG721" i="1" s="1"/>
  <c r="BA720" i="1"/>
  <c r="BA721" i="1" s="1"/>
</calcChain>
</file>

<file path=xl/sharedStrings.xml><?xml version="1.0" encoding="utf-8"?>
<sst xmlns="http://schemas.openxmlformats.org/spreadsheetml/2006/main" count="2420" uniqueCount="431">
  <si>
    <t>Adolescent Transition in West Africa</t>
  </si>
  <si>
    <t>FINANCIAL REPORT Y1</t>
  </si>
  <si>
    <t>B. COUNTRY: BURKINA FASO</t>
  </si>
  <si>
    <t>DONOR APPROVED BUDGET (SEPT 2020)</t>
  </si>
  <si>
    <t>ACTUAL EXPENDITURES</t>
  </si>
  <si>
    <t>TOTAL BUDGET</t>
  </si>
  <si>
    <t>YEAR 1 BUDGET</t>
  </si>
  <si>
    <t>YEAR 2 BUDGET</t>
  </si>
  <si>
    <t>YEAR 3 BUDGET</t>
  </si>
  <si>
    <t>YEAR 4 BUDGET</t>
  </si>
  <si>
    <t>ACTUALS YEAR 1</t>
  </si>
  <si>
    <t>YEAR 2</t>
  </si>
  <si>
    <t>YEAR 3</t>
  </si>
  <si>
    <t>YEAR 4</t>
  </si>
  <si>
    <t>TOTAL ACTUALS</t>
  </si>
  <si>
    <t>Description</t>
  </si>
  <si>
    <t>Applicant, partner</t>
  </si>
  <si>
    <t>Unit</t>
  </si>
  <si>
    <t># of
Units</t>
  </si>
  <si>
    <t>Unit
Rate</t>
  </si>
  <si>
    <t>Costs 
(in Euro)</t>
  </si>
  <si>
    <t>B. DIRECT PROGRAMME COSTS</t>
  </si>
  <si>
    <t>GENERAL PROGRAMME MANAGEMENT COSTS</t>
  </si>
  <si>
    <t>B.1 Programme management costs</t>
  </si>
  <si>
    <t>Programme management costs (in-country costs)</t>
  </si>
  <si>
    <t xml:space="preserve"> - Support staff (**)</t>
  </si>
  <si>
    <t>Finance officer SCI (2) (100%)</t>
  </si>
  <si>
    <t>SCI BFA</t>
  </si>
  <si>
    <t>month</t>
  </si>
  <si>
    <t>Finance Assistant SCI Ouayigouya (100%)</t>
  </si>
  <si>
    <t>Supply chain Officer SCI Ouayigouya (100%)</t>
  </si>
  <si>
    <t>Procurement  Assistant SCI (100%) (2)</t>
  </si>
  <si>
    <t>Security officer (100%)</t>
  </si>
  <si>
    <t>Driver (1) (100%)</t>
  </si>
  <si>
    <t>Finance partner (3)</t>
  </si>
  <si>
    <t>J&amp;D, AMMIE, AZND</t>
  </si>
  <si>
    <t>Driver Partner (3)</t>
  </si>
  <si>
    <t>National director partner (25%) (3)</t>
  </si>
  <si>
    <t>Country Director SCI (4%)</t>
  </si>
  <si>
    <t>Deputy Country Director Program (4%)</t>
  </si>
  <si>
    <t>Deputy Director of Support Services (4%)</t>
  </si>
  <si>
    <t>Awards Staff (4%)  2 staff</t>
  </si>
  <si>
    <t>Finance Staff  (4%) 2 staff</t>
  </si>
  <si>
    <t>Logistique Staff  (4%) 2 staff</t>
  </si>
  <si>
    <t>HR Staff   (6%) 2 staff</t>
  </si>
  <si>
    <t>Administration Staff (4%) 2 staff</t>
  </si>
  <si>
    <t>Field Office Manager (Ouagadougou) (10%)</t>
  </si>
  <si>
    <t>Child Safeguarding Staff (4%)</t>
  </si>
  <si>
    <t>Security Staff (4%)</t>
  </si>
  <si>
    <t>Communication Staff (6%) 1 staff</t>
  </si>
  <si>
    <t>Health &amp; Research Intern (100%)</t>
  </si>
  <si>
    <t>In-country shared direct costs - management &amp; support staff salaries (***)</t>
  </si>
  <si>
    <t>In-country shared direct costs - management &amp; support staff - Non salary benefits (***)</t>
  </si>
  <si>
    <t xml:space="preserve"> - Travel &amp; Perdiem</t>
  </si>
  <si>
    <t>Per diem in-country travel Supervision missions (Country Office Staff to the field) support staff</t>
  </si>
  <si>
    <t>Per diems (4 days per trip x 4 persons x 3 trips per year x 3 regions)</t>
  </si>
  <si>
    <t>day</t>
  </si>
  <si>
    <t>Hotel (3 nights per trip x 3 trips/year x 4 persons x 23regions)</t>
  </si>
  <si>
    <t>night</t>
  </si>
  <si>
    <t>In-country shared direct costs - travel &amp; lodging costs (***)</t>
  </si>
  <si>
    <t xml:space="preserve"> - Equipment (vehicles, motocycles, generator, computers, printers, security system)</t>
  </si>
  <si>
    <t>Office equipment</t>
  </si>
  <si>
    <t>Laptop kits (18 SCI)</t>
  </si>
  <si>
    <t>laptop</t>
  </si>
  <si>
    <t>Laptop kits (17 partner)</t>
  </si>
  <si>
    <t>Partner</t>
  </si>
  <si>
    <t>Telephones (16 SCI)</t>
  </si>
  <si>
    <t>telephone</t>
  </si>
  <si>
    <t>Telephones (20 partner)</t>
  </si>
  <si>
    <t>Antivirus subscription (per year) (18 SCI)</t>
  </si>
  <si>
    <t>kit</t>
  </si>
  <si>
    <t>Antivirus subscription (per year) (17 Partner)</t>
  </si>
  <si>
    <t>Microsoft Office (18 SCI)</t>
  </si>
  <si>
    <t>Microsoft Office (17 Partner)</t>
  </si>
  <si>
    <t>Desks (10 SCI)</t>
  </si>
  <si>
    <t>desks</t>
  </si>
  <si>
    <t>Desks (14 Partner)</t>
  </si>
  <si>
    <t>Chairs (15 SCI + 10 for visitors)</t>
  </si>
  <si>
    <t>chairs</t>
  </si>
  <si>
    <t>Chairs (14 Partner)</t>
  </si>
  <si>
    <t>Whiteboard</t>
  </si>
  <si>
    <t>whiteboard</t>
  </si>
  <si>
    <t>Other equipment</t>
  </si>
  <si>
    <t>Cameras (3 SCI)</t>
  </si>
  <si>
    <t>Camera</t>
  </si>
  <si>
    <t>Cameras (8 Partner)</t>
  </si>
  <si>
    <t>Vehicle (1)</t>
  </si>
  <si>
    <t>vehicle</t>
  </si>
  <si>
    <t>Vehicle (3)</t>
  </si>
  <si>
    <t>Motorcycles (4 SCI)</t>
  </si>
  <si>
    <t>mororcycles</t>
  </si>
  <si>
    <t>Motorcycles (11 Partner)</t>
  </si>
  <si>
    <t xml:space="preserve"> - Other costs (office rent, office supplies, vehicle fuel and maintenance, communication)</t>
  </si>
  <si>
    <t>Monthly Premises Costs (Ouagadougou)</t>
  </si>
  <si>
    <t>Monthly Premises Costs (Dédougou)</t>
  </si>
  <si>
    <t>Monthly Premises Costs (Ouayigouya)</t>
  </si>
  <si>
    <t>Monthly Premises Costs (Kaya)</t>
  </si>
  <si>
    <t>In-country shared direct costs - premise costs (***)</t>
  </si>
  <si>
    <t>Vehicle petrol (200 euro/month * 11 months)</t>
  </si>
  <si>
    <t>Vehicle Insurance</t>
  </si>
  <si>
    <t>Vehicle Maintenance</t>
  </si>
  <si>
    <t>Vehicle petrol (3 cars * 200 euro/month * 11 months)</t>
  </si>
  <si>
    <t>Motocycle petrol for supervision missions (supporting staff)</t>
  </si>
  <si>
    <t>trip</t>
  </si>
  <si>
    <t>Motorcycle petrol (4 motorcycles * 76 euro/month * 11 months)</t>
  </si>
  <si>
    <t>Motorcycle petrol (11 motorcycles * 76 euro/month * 11 months)</t>
  </si>
  <si>
    <t>Motorcycle Insurance (4 SCI)</t>
  </si>
  <si>
    <t>unit</t>
  </si>
  <si>
    <t>Motorcycle Insurance (11 partner)</t>
  </si>
  <si>
    <t>Motorcycle Maintenance (4 SCI)</t>
  </si>
  <si>
    <t>Motorcycle Maintenance (11 Partner)</t>
  </si>
  <si>
    <t>First Aid Kit (5 SCI) (for each motorcycle &amp; vehicle)</t>
  </si>
  <si>
    <t>First Aid Kit (14 Partner) (for each motorcycle &amp; vehicle)</t>
  </si>
  <si>
    <t>Monthly Communication Costs for Programme staff</t>
  </si>
  <si>
    <t>Bank Fees</t>
  </si>
  <si>
    <t>In-country shared direct costs - other office costs (***)</t>
  </si>
  <si>
    <t>In-country shared direct costs - vehicle &amp; transport costs (***)</t>
  </si>
  <si>
    <t>In-country partner shared direct costs (***)</t>
  </si>
  <si>
    <t xml:space="preserve"> - Audit costs</t>
  </si>
  <si>
    <t>External audit</t>
  </si>
  <si>
    <t>audit</t>
  </si>
  <si>
    <t>Programme management costs (SCNL/Regional)</t>
  </si>
  <si>
    <t xml:space="preserve"> - Support staff (PM LoE 80%, FPM LoE 20%)</t>
  </si>
  <si>
    <t>SCNL Programme Manager (80%) (€ 37,94*1657/12*80%) (**)</t>
  </si>
  <si>
    <t>SCNL</t>
  </si>
  <si>
    <t>SCNL Financial Programme Manager (20%) (€ 48,87*1657/12*20%) (**)</t>
  </si>
  <si>
    <t xml:space="preserve"> - Travel &amp; perdiem (PM)</t>
  </si>
  <si>
    <t>International air ticket, local transport  (2x 'TA'/'PM'/'MEAL' 1x p/year) (2 travels to 3 countries/yr x average € 4.000 p/travel)</t>
  </si>
  <si>
    <t>visit</t>
  </si>
  <si>
    <t>Visa costs (2*3 visas/yr x € 85 p/visa)</t>
  </si>
  <si>
    <t>visa</t>
  </si>
  <si>
    <t>Per diem (2 travels (to 3 countries/yr) x 15 days/yr x € 120 p/day)</t>
  </si>
  <si>
    <t>per diem</t>
  </si>
  <si>
    <t xml:space="preserve"> - Printing for dissemination materials, translation, layout and publication reports, others.</t>
  </si>
  <si>
    <t>lumpsum</t>
  </si>
  <si>
    <t>B.2 Programme monitoring and evaluation costs</t>
  </si>
  <si>
    <t>Programme monitoring and evaluation costs (in-country costs)</t>
  </si>
  <si>
    <t xml:space="preserve"> - Monitoring, evaluation, accountability and learning</t>
  </si>
  <si>
    <t>MEAL Officer (100%)</t>
  </si>
  <si>
    <t>MEAL partner (3)</t>
  </si>
  <si>
    <t>MEAL Staff (6%)</t>
  </si>
  <si>
    <t xml:space="preserve"> - Baseline, Formative research, Endline study</t>
  </si>
  <si>
    <t>Baseline study</t>
  </si>
  <si>
    <t>study</t>
  </si>
  <si>
    <t>End evaluation</t>
  </si>
  <si>
    <t>evaluation</t>
  </si>
  <si>
    <t>Accountability Mechanism</t>
  </si>
  <si>
    <t>Baseline, endline and formative research</t>
  </si>
  <si>
    <t>SCI BFA BFA, partners, in coordination with SCNL</t>
  </si>
  <si>
    <t>Programme monitoring and evaluation costs (SCNL/Regional)</t>
  </si>
  <si>
    <t xml:space="preserve"> - Research (Formative research, Baseline and Endline study)</t>
  </si>
  <si>
    <t>1.</t>
  </si>
  <si>
    <t>B.3 OUTCOME 1: Improved sexual and reproductive health and rights and gender equality knowledge, intent and behaviours among adolescents</t>
  </si>
  <si>
    <t>1.1</t>
  </si>
  <si>
    <t>OUTPUT 1.1: Adolescent girls and boys are provided with quality Life Skills Education, including SRHR information, in schools (by teachers, and in Mali also by peers)</t>
  </si>
  <si>
    <t>Human Resources (technical staff) (*)</t>
  </si>
  <si>
    <t>Program Manager (100%)</t>
  </si>
  <si>
    <t>Programme Coordinator (3, 11m)</t>
  </si>
  <si>
    <t>Health TA (100%)</t>
  </si>
  <si>
    <t>Programme Coordinator (partner, 3, 11m)</t>
  </si>
  <si>
    <t>Supervisors (partner, 8, 11m)</t>
  </si>
  <si>
    <t>Regional Health TA (28 days)</t>
  </si>
  <si>
    <t>Travel &amp; Perdiem</t>
  </si>
  <si>
    <t>International Air tickets:</t>
  </si>
  <si>
    <t>Regional Coordination Meeting</t>
  </si>
  <si>
    <t>Rt ticket</t>
  </si>
  <si>
    <t>Regional Support Mission (Health TA)</t>
  </si>
  <si>
    <t>Local transportation (Technical staff):</t>
  </si>
  <si>
    <t>Petrol for Monthly Meeting in BFA Country Office</t>
  </si>
  <si>
    <t>Petrol for Quarterly Coordination Meeting</t>
  </si>
  <si>
    <t>Petrol for Regional Support Mission (Health TA)</t>
  </si>
  <si>
    <t>Per diem international travel</t>
  </si>
  <si>
    <t>Per diems  (5 days x 3 persons)</t>
  </si>
  <si>
    <t>Hotel for Regional (4 nights x 3 persons)</t>
  </si>
  <si>
    <t>Per diems (10 days per trip x 1 trip per year)</t>
  </si>
  <si>
    <t>Hotel (9 nights per trip x 1 trips/year)</t>
  </si>
  <si>
    <t>Per diem in-country travel</t>
  </si>
  <si>
    <t>Monthly Meeting in BFA Country Office</t>
  </si>
  <si>
    <t>Per diems (3 days per month x 40 months x 2 persons)</t>
  </si>
  <si>
    <t>Hotel (2 nights per month x 40 months x 2 persons)</t>
  </si>
  <si>
    <t>Quarterly Coordination Meeting</t>
  </si>
  <si>
    <t>Per diems (3 days/meeting x 4 meetings/year x 11 persons)</t>
  </si>
  <si>
    <t>Hotel (2 nights/meeting x 4 meetings/year x 11 persons)</t>
  </si>
  <si>
    <t>Pre-launch, kick-off meetings, general programme strategy planning/project partner capacity building workshops, etc.</t>
  </si>
  <si>
    <t>Partner assessment Finalization and MoU</t>
  </si>
  <si>
    <t>partner</t>
  </si>
  <si>
    <t>Project introduction to DoE and DoH and adaptation to local context</t>
  </si>
  <si>
    <t>region</t>
  </si>
  <si>
    <t>General programme strategy planning</t>
  </si>
  <si>
    <t>meeting</t>
  </si>
  <si>
    <t>Project kick off</t>
  </si>
  <si>
    <t>Project partner capacity building workshops on SCI procedures</t>
  </si>
  <si>
    <t>session</t>
  </si>
  <si>
    <t>Child Safeguarding Training for project staff (Partner &amp; SCI) (80 people)</t>
  </si>
  <si>
    <t>training</t>
  </si>
  <si>
    <t>Office setlement in Ouahugouya</t>
  </si>
  <si>
    <t>Programme Activities:</t>
  </si>
  <si>
    <t>1.1.1</t>
  </si>
  <si>
    <t>In-School LES</t>
  </si>
  <si>
    <t>Advocate to create political will for Life Skills Education</t>
  </si>
  <si>
    <t>Collaborate with Regional, Provincial and Departmental Education/School administration to jointly decide with schools, which grades or ages, by which teachers, how and when LSE will be delivered (class/grade-based or age-based, co-curricular or extra-curricular)</t>
  </si>
  <si>
    <t>SCI BFA/Partner</t>
  </si>
  <si>
    <t>Human Resources (Activity-specific Technical staff)</t>
  </si>
  <si>
    <t>Fringe benefits and Allowances (Activity-specific Technical staff)</t>
  </si>
  <si>
    <t>Travel &amp; Perdiem (Activity-specific) (3days*25 participants)</t>
  </si>
  <si>
    <t>Equipment (Activity-specific) stationnary (1kit*25 participants)</t>
  </si>
  <si>
    <t>Other costs (Activity-specific) meals</t>
  </si>
  <si>
    <t>participant</t>
  </si>
  <si>
    <t>Other costs (Activity-specific) meeting room</t>
  </si>
  <si>
    <t>Ensure that LSE is incorporated in annual school calendars/jointly plan LSE session timetables</t>
  </si>
  <si>
    <t>Travel &amp; Perdiem (Activity-specific)</t>
  </si>
  <si>
    <t>Equipment (Activity-specific)</t>
  </si>
  <si>
    <t>Other costs (Activity-specific)(1meal*1planning session*808schools)</t>
  </si>
  <si>
    <t>Local partner</t>
  </si>
  <si>
    <t>meal</t>
  </si>
  <si>
    <t>Develop/adapt and pre-test LSE curriculum with key stakeholders (including training manual and resource books for students).</t>
  </si>
  <si>
    <t xml:space="preserve">Design and printing of small Pilot test adapted/developed curriculum  </t>
  </si>
  <si>
    <t>SCI</t>
  </si>
  <si>
    <t>support</t>
  </si>
  <si>
    <t xml:space="preserve">Design and printings </t>
  </si>
  <si>
    <t xml:space="preserve">Equipment (Activity-specific) </t>
  </si>
  <si>
    <t>Other costs (Activity-specific) (1consulation to develop the curriculum)</t>
  </si>
  <si>
    <t>curriculum</t>
  </si>
  <si>
    <t>Pilot test adapted/developed curriculum, including assessing pre/post knowledge and attitudes of teachers/educators and students; collecting input from students and teachers/educators on the content and teaching methods, challenges in teaching and learning; and revising the curriculum to address issues identified</t>
  </si>
  <si>
    <t>Travel &amp; Perdiem (Activity-specific) (1team*4participants(1SCI1DoE1Partner1driver)*3regions*2day)</t>
  </si>
  <si>
    <t>Other costs (Activity-specific) (fuel for trip)</t>
  </si>
  <si>
    <t>Establish and train of a pool of 2424 LSE trainers/teachers (40 trainers of trainers,  teachers in 75 secondary school,   733 primary schools (2 teachers and 1 director per school))</t>
  </si>
  <si>
    <t>teacher/trainers</t>
  </si>
  <si>
    <t>Training of training for the 40 trainers, 6project staff SCI (1PM, 3Coordinators, 1MEAL Officer SCI, 1Health TA), 35project staff partner (3coordinators, 3MEAL, 8 supervisors, 35 animators)</t>
  </si>
  <si>
    <t>Travel &amp; Perdiem (Activity-specific)  ((50teachers trainers *38EUR*3days</t>
  </si>
  <si>
    <t>Day</t>
  </si>
  <si>
    <t>Travel &amp; Perdiem (Activity-specific) 50projectstaffwhotravel*46EUR*3days</t>
  </si>
  <si>
    <t>Equipment (Activity-specific) (kit material for participants)</t>
  </si>
  <si>
    <t>Other costs (Activity-specific) (meal):105participants*2days</t>
  </si>
  <si>
    <t>Other costs (Activity-specific) (meetin room renting):1room*2sessions*2days</t>
  </si>
  <si>
    <t>Training of the 2850 teachers by the 40 trainers</t>
  </si>
  <si>
    <t>Travel &amp; Perdiem (Activity-specific)  ((1teachers trainers*100sessions *3days*38EUR</t>
  </si>
  <si>
    <t>Travel &amp; Perdiem (Activity-specific)  ((1teachers trainers*100sessions*2days*10000of training fees</t>
  </si>
  <si>
    <t>Travel &amp; Perdiem (Activity-specific) 49projectstaffwhotravel*46EUR*3days</t>
  </si>
  <si>
    <t>Travel &amp; Perdiem (Activity-specific) 2850teachers/directorswhotravel*38EUR*3days</t>
  </si>
  <si>
    <t>Travel &amp; Perdiem (Activity-specific) 35teachers/directorswhodidnottravel*8EUR*2days</t>
  </si>
  <si>
    <t>Other costs (Activity-specific) (meal):3555people*2days</t>
  </si>
  <si>
    <t>Other costs (Activity-specific) (meetin room renting):1room*100sessions*2days</t>
  </si>
  <si>
    <t>Establishing supervision systems for educators, conduct supportive supervision and provide mentorship to educators/teachers</t>
  </si>
  <si>
    <t>Travel &amp; Perdiem (Activity-specific) (2days(3foryear2)*50trainers pedagogical advisors)</t>
  </si>
  <si>
    <t>incentive</t>
  </si>
  <si>
    <t>Other costs (Activity-specific)</t>
  </si>
  <si>
    <t>Based on supportive supervision, provide follow-up training and support to teachers and schools as needed.</t>
  </si>
  <si>
    <t>Travel &amp; Perdiem (Activity-specific)  ((1teachers trainers*100sessions *1days*38EUR</t>
  </si>
  <si>
    <t>Travel &amp; Perdiem (Activity-specific)  ((1teachers trainers*100sessions*1days*10000of training fees</t>
  </si>
  <si>
    <t>Travel &amp; Perdiem (Activity-specific) 49projectstaffwhotravel*46EUR*1days</t>
  </si>
  <si>
    <t>Travel &amp; Perdiem (Activity-specific) 2850teachers/directorswhotravel*38EUR*1days</t>
  </si>
  <si>
    <t>Travel &amp; Perdiem (Activity-specific) 35teachers/directorswhodidnottravel*8EUR*1days</t>
  </si>
  <si>
    <t>Other costs (Activity-specific) (meal):3555people*1days</t>
  </si>
  <si>
    <t>Other costs (Activity-specific) (meetin room renting):1room*100sessions*1days</t>
  </si>
  <si>
    <t xml:space="preserve">Establishing formal agreements between education and health systems to ensure referrals to health services and health talks in schools and students and adolescents may jointly visit health centers to increase their comfort in seeking services (230 community based health centers) </t>
  </si>
  <si>
    <t>Other costs (Activity-specific) (Health center motivation for school adolescents referals to health services and health talks in schools): 1150*11,43Euro per year starting in the 2nd year</t>
  </si>
  <si>
    <t>agreements</t>
  </si>
  <si>
    <t xml:space="preserve">Support monitoring and evaluation activities: Teachers,  list of sessions, attendance lists, pre and post tests for trainings of teachers and of students </t>
  </si>
  <si>
    <t>Fringe benefits and Allowances (Activity-specific Technical staff) (Motivation of teachers/directors for collecting M&amp;E data for the project): 808schools*3teachers/directors*3,81EUR</t>
  </si>
  <si>
    <t>teacher</t>
  </si>
  <si>
    <t>Conduct adolescent friendly communications activities around COVID-19 risks and measures. Adopt a community strategy by forming "virtual" clubs with beneficiaries and reach adolescents by messages through mobile phones (5 to 10 adolescents per mobile).</t>
  </si>
  <si>
    <t>Club</t>
  </si>
  <si>
    <t>SUBTOTAL OUTPUT 1.1:</t>
  </si>
  <si>
    <t>1.2</t>
  </si>
  <si>
    <t>OUTPUT 1.2: Adolescent girls in schools and out of school adolescent girls have the knowledge, materials, and in-school facilities to manage their menstruation in a hygienic, healthy, and dignified fashion</t>
  </si>
  <si>
    <t>1.2.1</t>
  </si>
  <si>
    <t>School sanitation and menstrual hygiene management</t>
  </si>
  <si>
    <t>Mobilise school and wider community (no cost)</t>
  </si>
  <si>
    <t xml:space="preserve">Support local construction and rehabilitation,  of 500 gender-segregated school latrines (with the national or UNICEF JMP recommended pupil-to-toilet ratio) for 250 schools (construction of 100 latrines &amp; rehabilitation of 400 latrines) </t>
  </si>
  <si>
    <t>Construction of 100 latrines</t>
  </si>
  <si>
    <t>Equipment (Activity-specific)(latrine for school): contract of construction 100 latrines</t>
  </si>
  <si>
    <t>latrine</t>
  </si>
  <si>
    <t>Rehabilitation of 400 latrines</t>
  </si>
  <si>
    <t>Equipment (Activity-specific) (latrine for school): contract of rehabilitation 400 latrines</t>
  </si>
  <si>
    <t xml:space="preserve">Support accessibility of water for cleaning/flushing facilities and for personal cleaning (construction of 100 facilities &amp; rehabilitation of 400 facilities) </t>
  </si>
  <si>
    <t>Construction of 100 water points</t>
  </si>
  <si>
    <t>Equipment (Activity-specific)(water point for school): contract of construction of 100 water points</t>
  </si>
  <si>
    <t>water point</t>
  </si>
  <si>
    <t>Rehabilitation of 400 water points</t>
  </si>
  <si>
    <t>Equipment (Activity-specific) (water point for school): contract of rehabilitation of 400 water points</t>
  </si>
  <si>
    <t>Ensure maintenance plan is in place</t>
  </si>
  <si>
    <t>plan</t>
  </si>
  <si>
    <t>Develop/adapt menstrual hygiene management training and resource material</t>
  </si>
  <si>
    <t>Engage regional or local social business on reusable menstrual hygiene kits</t>
  </si>
  <si>
    <t>kits</t>
  </si>
  <si>
    <r>
      <t xml:space="preserve">Distribute 150.000 </t>
    </r>
    <r>
      <rPr>
        <i/>
        <sz val="11"/>
        <color indexed="8"/>
        <rFont val="Calibri"/>
        <family val="2"/>
      </rPr>
      <t xml:space="preserve"> reusable menstrual hygiene pads to adolescents in 1150 schools + 10 kits per school/year x 1.150 schools in case of emergencies in school </t>
    </r>
  </si>
  <si>
    <r>
      <t xml:space="preserve">Distribute 135.000 </t>
    </r>
    <r>
      <rPr>
        <sz val="11"/>
        <color indexed="8"/>
        <rFont val="Calibri"/>
        <family val="2"/>
      </rPr>
      <t xml:space="preserve"> reusable menstrual hygiene pads in 1150 schools </t>
    </r>
  </si>
  <si>
    <t>Equipment (Activity-specific) (1kit hygiene pad* 33.750 adolescents girls/year x 4 years)</t>
  </si>
  <si>
    <t>Establishing 11500 reusable menstrual hygiene pads kits in 1150 schools for emergencies cases per year (10 kits per school)</t>
  </si>
  <si>
    <t>Equipment (Activity-specific) (10kit*1150schools per year)</t>
  </si>
  <si>
    <t>Teach 115.000 adolescents girls how to make reusable menstrual hygiene pads (cost for material)</t>
  </si>
  <si>
    <t>Equipment (Activity-specific) (1material of making reusable pad*115.000 adolescents/year x 3 years</t>
  </si>
  <si>
    <t>material</t>
  </si>
  <si>
    <t>Work with 808schools (75 secondary &amp; 733 primary) to include MHM elements into School Improvement Plans</t>
  </si>
  <si>
    <t>Other costs (Activity-specific) (Drink for 1 meeting with SMC*11,43EUR*1150school in year 1,2 and 4)</t>
  </si>
  <si>
    <t>Work with 808schools (75 secondary &amp; 733 primary) to include MHM elements in school budget</t>
  </si>
  <si>
    <t>Engage PTA, SMC, Local/District Government Units to share information about inclusion of MHM in Schools</t>
  </si>
  <si>
    <t>Other costs (Activity-specific) (Drink for 1 meeting with SMC*11,43EUR*1150school per year)</t>
  </si>
  <si>
    <t>school</t>
  </si>
  <si>
    <t>meetings</t>
  </si>
  <si>
    <t>Work with 808 schools (75secondary &amp; 733 primary)  and community on environmentally friendly waste management system and support discrete waste disposal in schools</t>
  </si>
  <si>
    <t>waste disposa material</t>
  </si>
  <si>
    <r>
      <t xml:space="preserve">Provide training to teachers, SMC and PTA on WASH Operations &amp; Maintenance </t>
    </r>
    <r>
      <rPr>
        <b/>
        <sz val="11"/>
        <rFont val="Calibri"/>
        <family val="2"/>
      </rPr>
      <t>(No cost, will be adressed in other planning, budgeting and M&amp;E meetings)</t>
    </r>
  </si>
  <si>
    <t>Work with 808 schools (75 secondary &amp; 733 primary) on sustainable access to sanitary pads. Promote accessibility of menstrual materials on school grounds. (No cost, Regular session of making reusable pads at school)</t>
  </si>
  <si>
    <t xml:space="preserve">Work with 808 schools (75secondary &amp; 733 primary) to ensure that boys and girls ideas are included in the development of contextual MHM interventions. </t>
  </si>
  <si>
    <t>Other costs (Activity-specific) (drink for 1meeting with adolescents reresentatives*1150schools*15,24EUR</t>
  </si>
  <si>
    <t xml:space="preserve">Establish and train of a pool of 2850 MHM trainers/teachers 50 trainers of trainers, </t>
  </si>
  <si>
    <t>Travel &amp; Perdiem (Activity-specific)  ((50teachers trainers *38EUR*2days</t>
  </si>
  <si>
    <t>SCI/Partner</t>
  </si>
  <si>
    <t>Travel &amp; Perdiem (Activity-specific) 50projectstaffwhotravel*46EUR*2days</t>
  </si>
  <si>
    <t>Training of the 2424 teachers by the 40 trainers</t>
  </si>
  <si>
    <t>Travel &amp; Perdiem (Activity-specific) 49projectstaffwhotravel*46EUR*2days</t>
  </si>
  <si>
    <t>Travel &amp; Perdiem (Activity-specific) 3415teachers/directorswhotravel*38EUR*2days</t>
  </si>
  <si>
    <t>Other costs (Activity-specific) (meal):2850 + 49 people*2days</t>
  </si>
  <si>
    <t>SUBTOTAL OUTPUT 1.2:</t>
  </si>
  <si>
    <t>1.4</t>
  </si>
  <si>
    <t>OUTPUT 1.4: Communities demonstrate support for LSE and SRH services for adolescents</t>
  </si>
  <si>
    <t>1.4.1</t>
  </si>
  <si>
    <t>Promote a supportive social environment among families, communities for adolescent LSE/ASRHR and gender equality</t>
  </si>
  <si>
    <r>
      <rPr>
        <sz val="11"/>
        <color indexed="8"/>
        <rFont val="Calibri"/>
        <family val="2"/>
      </rPr>
      <t>Build parents support for life skills Education in school through the school management committees (SMCs).</t>
    </r>
  </si>
  <si>
    <t xml:space="preserve">Promote and support hand washing and physical distancing through media and social media campaigns. </t>
  </si>
  <si>
    <t>Communication designs/conception of visuals (banners, posters, flyers….)</t>
  </si>
  <si>
    <t>Printing of communication material (banners, posters, flyers….)</t>
  </si>
  <si>
    <t>Communicationdesign and conception of audio (radio broadcasting)</t>
  </si>
  <si>
    <t>Broadcasting of campaign(6 mois X 4 semaines X 3 difusions)</t>
  </si>
  <si>
    <t>Diffusion</t>
  </si>
  <si>
    <t>Human Resources (Activity-specific Technical staff) (Animator)</t>
  </si>
  <si>
    <t>animator</t>
  </si>
  <si>
    <t>Equipment (Activity-specific) (motorbike and telephone for animators)</t>
  </si>
  <si>
    <t>motorbike+phone</t>
  </si>
  <si>
    <t>Equipment (Activity-specific) (First Aid Kit for animators mororbikes)</t>
  </si>
  <si>
    <t>Kit</t>
  </si>
  <si>
    <t>Other costs (Activity-specific) (drink during meeting with SMC on LES/ASRHR and gender equality)</t>
  </si>
  <si>
    <t>Other costs (Activity-specific) (Fuel and maintenance for animators motorbikes)</t>
  </si>
  <si>
    <t>Other costs (Activity-specific) (Communication for animators)</t>
  </si>
  <si>
    <t>SUBTOTAL OUTPUT 1.4:</t>
  </si>
  <si>
    <t>SUBTOTAL IN-COUNTRY COSTS OUTCOME 1:</t>
  </si>
  <si>
    <t xml:space="preserve"> - SCNL/Regional, 1 TA SRHR, 1 TA curriculum development, formative studies Outcome 1</t>
  </si>
  <si>
    <t>TA SRHR (100%) (€ 48,87*1657/12*100%) (*)</t>
  </si>
  <si>
    <t>TA curriculum development and formative studies (€ 42,25*1630/12*100%) (*)</t>
  </si>
  <si>
    <t xml:space="preserve"> - SCNL/Regional, Regional meetings Outcome 1</t>
  </si>
  <si>
    <t xml:space="preserve"> - SCNL/Regional travel &amp; perdiem (TA) Outcome 1</t>
  </si>
  <si>
    <t>SUBTOTAL COSTS OUTCOME 1:</t>
  </si>
  <si>
    <t>2.</t>
  </si>
  <si>
    <t>B.4 OUTCOME 2: Health facilities offer quality adolescent-responsive SRH services that are used by adolescent girls and boys</t>
  </si>
  <si>
    <t>2.1</t>
  </si>
  <si>
    <t>OUTPUT 2.1: Improved SRHR service delivery for adolescents in 230 health facilities</t>
  </si>
  <si>
    <t>2.1.1</t>
  </si>
  <si>
    <t>SRHR service delivery improvement for adolescents</t>
  </si>
  <si>
    <t>With Department of Health (DOH) including regional and provincial levels, determine current package of services offered to adolescents in 230 existing service delivery points where adolescents seek services (undertaken by project Intern &amp; MEAL)</t>
  </si>
  <si>
    <t xml:space="preserve">Travel &amp; Perdiem (Activity-specific) (8provinces*2days*3staffs*46,50EUR </t>
  </si>
  <si>
    <t>Travel &amp; Perdiem (Activity-specific) (8trips*91,47EUR for fuel fuel</t>
  </si>
  <si>
    <t>With DOH, identify areas for improvement in package of SRHR services that can be delivered to adolescents at specific service delivery levels; Provide technical assistance to DOH to expand recommendations of services delivery packages and define minimum SRHR service package for adolescents (workshop)</t>
  </si>
  <si>
    <t>Travel &amp; Perdiem (Activity-specific) (1*25 participants*20EUR</t>
  </si>
  <si>
    <t>Other costs (Activity-specific) meeting room 1 day</t>
  </si>
  <si>
    <t>In project catchment area, assess existing quality and capacity of service delivery points to provide the SRHR service package to adolescents with quality  (undertaken by project Intern &amp; MEAL)</t>
  </si>
  <si>
    <t>Travel &amp; Perdiem (Activity-specific) (8provinces*2days*3staffs*46,50EUR including fuel</t>
  </si>
  <si>
    <t>Travel &amp; Perdiem (Activity-specific) (1trips*8provinces*60000CFA</t>
  </si>
  <si>
    <t>area</t>
  </si>
  <si>
    <t>Based on assessment, work with DOH to expand range of services available to reach adolescents. Including through training (see below), quality improvement and infrastructure improvements</t>
  </si>
  <si>
    <t>Equipment (Activity-specific) (SRHR products for 8provinces*6097,96EUR the second year, 5183,27EUR the third year and 3201,43 in year 4</t>
  </si>
  <si>
    <r>
      <t xml:space="preserve">Costing of workplans and inclusion of ASRHR in local budgets: provide technical assistance to support ASRHR-responsive budgeting, including developing costed plans for delivery of adolescent responsive health services </t>
    </r>
    <r>
      <rPr>
        <b/>
        <sz val="11"/>
        <rFont val="Calibri"/>
        <family val="2"/>
      </rPr>
      <t>(no cost, must be done by attending SMC and municipality budgeting sessions)</t>
    </r>
  </si>
  <si>
    <t>Encourage close collaboration between DoE and DoH to ensure quality of refferal and provisions between schools and health centres and implementation of existing agreements</t>
  </si>
  <si>
    <t>Travel &amp; Perdiem (Activity-specific) (1meeting*8provinces*18participants*30,49EUR)</t>
  </si>
  <si>
    <t>Other costs (Activity-specific) 1 meal for participants</t>
  </si>
  <si>
    <t>food</t>
  </si>
  <si>
    <t>Other costs (Activity-specific) 1day*1meeting room*8provinces*38,11</t>
  </si>
  <si>
    <t>meeting room</t>
  </si>
  <si>
    <t>Support local construction of  gender-segregated school latrines for health centers (construction of latrines &amp; rehabilitation of latrines)</t>
  </si>
  <si>
    <t>Support local rehabilitation of  gender-segregated school latrines for health centers (construction of latrines &amp; rehabilitation of latrines)</t>
  </si>
  <si>
    <t>Support accessibility of water for cleaning/flushing facilities and for personal cleaning (construction of  facilities of  facilities)</t>
  </si>
  <si>
    <t>Support accessibility of water for cleaning/flushing facilities and for personal cleaning (rehabilitation of  facilities)</t>
  </si>
  <si>
    <t>water point et latrine</t>
  </si>
  <si>
    <t>Training Health Care Workers and facility staff on integrated COVID-19 response / risk prevention in line with CO and national government strategy.</t>
  </si>
  <si>
    <t>The provision of pharmaceutical products to health centers (already provided for in the budget but budget needs to increased).</t>
  </si>
  <si>
    <t>Provision of personal protective equipment (PPE) (gloves, masks, coveralls) to health workers</t>
  </si>
  <si>
    <t>Support placement of handwashing devices and distribution of hydro-alcoholic gel to health facility staff.</t>
  </si>
  <si>
    <t>Provision of disinfection kits consisting of hand-held devices, chlorine and protective gear</t>
  </si>
  <si>
    <t>If needed: provision of technical assistance to MoH</t>
  </si>
  <si>
    <t>Support standard and transmission-based Infection Prevention and Control (IPC) precautions implemented at health facilities.</t>
  </si>
  <si>
    <t>Support creation of isolation areas.</t>
  </si>
  <si>
    <t>Support the limitation of visitors and movements within health facilities, limiting number of health workers with contact with any one patient, and limiting exams if not necessary.</t>
  </si>
  <si>
    <t>Promote adherence to patient transfer protocols and use of face masks for patients when referring to limit transmission to others.</t>
  </si>
  <si>
    <t>Promote PPE conservation strategies.</t>
  </si>
  <si>
    <t>During large scale response: first implement partial suspension of non-emergency services such as routine or follow-up visits and preventive services such as ante-natal care etc.</t>
  </si>
  <si>
    <t>SUBTOTAL OUTPUT 2.1:</t>
  </si>
  <si>
    <t>2.2</t>
  </si>
  <si>
    <t xml:space="preserve">OUTPUT 2.2: 690 health service providers have the knowledge, skills, and attitudes to provide adolescent-responsive SRH services </t>
  </si>
  <si>
    <t>2.2.1</t>
  </si>
  <si>
    <t>Adolescent- competent workforce strengthening: Develop the capacity of health service providers to be adolescent-competent and gender-equitable</t>
  </si>
  <si>
    <t>Identify the different cadres involved in provision of services for adolescents at the various service delivery points e.g. community health workers at community level, pharmacists and pharmacy technicians at chemists, school nurses, nurses/midwives/clinical officers/doctors in private and public health facilities  (undertaken by project Intern &amp; MEAL)</t>
  </si>
  <si>
    <t>Travel &amp; Perdiem (Activity-specific)  (3staff*3days*3regions) including fuel</t>
  </si>
  <si>
    <t>Travel &amp; Perdiem (Activity-specific) (1trip*3regions*60000CFA</t>
  </si>
  <si>
    <t>Identify core competencies required by each cadre as per MOH guidance and WHO recommendations and assess existing capacity against the core competencies to determine capacity gaps (see facility assessment tool in ASRHR Common Approach Appendix 6) (undertaken by project Intern &amp; MEAL)</t>
  </si>
  <si>
    <t>Travel &amp; Perdiem (Activity-specific) (3staff*3days*3regions) including fuel</t>
  </si>
  <si>
    <t>Putting in place mechanisms to keep staff motivated through continuous capacity building, mentorship and supervision, through recognition of well performing staff and their facilities</t>
  </si>
  <si>
    <t>Equipment (Activity-specific) (Rewarding the best health centers): 3health centers*8provinces*1year: 1st price value 700 000CFA, 2nd 500 000CFA and 3rd 300 000CFA</t>
  </si>
  <si>
    <t>health center</t>
  </si>
  <si>
    <t>Other costs (Activity-specific) (1award ceremony*8provinces</t>
  </si>
  <si>
    <t>Award ceremony</t>
  </si>
  <si>
    <t>-Conduct in-service training with DOH for 690 health workers of 230 community based health centres  on ASRHR, including “values clarification” to address negative attitudes and biases that providers have towards adolescents</t>
  </si>
  <si>
    <t>Travel &amp; Perdiem (Activity-specific) (1in-service training*230health centers*30,49EUR per year)</t>
  </si>
  <si>
    <t>health worker</t>
  </si>
  <si>
    <t>Other costs (Activity-specific) (food during the session at health center):230 health centers*2sessions*7,62EUR</t>
  </si>
  <si>
    <t xml:space="preserve">-Support DOH to incorporate ASRHR into ongoing supervision and mentorship approaches, including continuing reflection and dialogue efforts to address providers’ attitudes and behaviours </t>
  </si>
  <si>
    <t>Travel &amp; Perdiem (Activity-specific) (2staff of DOH*16DS*2 supervision a year*3days</t>
  </si>
  <si>
    <t>Travel &amp; Perdiem (Activity-specific) (9cars*2 supervisions* 60000CFA for the fuel)</t>
  </si>
  <si>
    <t>fuel</t>
  </si>
  <si>
    <t>Adolescent participation in program design, implementation &amp; monitoring</t>
  </si>
  <si>
    <t>Travel &amp; Perdiem (Activity-specific) (3 adolescents*2meetings*3regions*4days)</t>
  </si>
  <si>
    <t>Travel &amp; Perdiem (Activity-specific) (3 adolescents*2trips*3regions</t>
  </si>
  <si>
    <t>transport</t>
  </si>
  <si>
    <t>Promote adolescent responsive SRH services (in-service training)</t>
  </si>
  <si>
    <t>SUBTOTAL IN-COUNTRY COSTS OUTCOME 2:</t>
  </si>
  <si>
    <t xml:space="preserve"> - SCNL/Regional, 1 TA SRHR, 1 TA curriculum development, formative studies Outcome 2</t>
  </si>
  <si>
    <t xml:space="preserve"> - SCNL/Regional, Regional meetings Outcome 2</t>
  </si>
  <si>
    <t xml:space="preserve"> - SCNL/Regional travel &amp; perdiem (TA) Outcome 2</t>
  </si>
  <si>
    <t>SUBTOTAL COSTS OUTCOME 2:</t>
  </si>
  <si>
    <t>SUBTOTAL PROGRAMME ACTIVITY COSTS:</t>
  </si>
  <si>
    <t>TOTAL DIRECT PROGRAMME COSTS BURKINA FASO:</t>
  </si>
  <si>
    <t>Indirect administrative costs (ICR, 8%):</t>
  </si>
  <si>
    <t>TOTAL BURKINA FASO:</t>
  </si>
  <si>
    <t>Notes:</t>
  </si>
  <si>
    <t>(*) The technical staff costs (incl. their travel costs, kick off workshops, coordination meetings, etc.) are directly related to the provision of outcome programming and therefore considered thematic costs. In a consolidated budget, the thematic costs (programmatic costs directly related to themes or activities) are distributed over the results and outcomes applying SCI Cost Classification principles.</t>
  </si>
  <si>
    <t>(**) The support staff costs necessary to run the support programming of the project are considered non-thematic costs.</t>
  </si>
  <si>
    <t>(***) In-country support costs necessary to run the project efficiently in compliance with donor rules and regulations and commensurate with country level requirements and SCI policies on cost allocation methodology (see also summary and faq documents previously shared on SCI cost allocation methodology applied).</t>
  </si>
  <si>
    <t>(****) Indirect Cost Recovery (ICR or AKV- Apparaatskostenvergoeding in Dutch) is maintained at 8%. Save the Children’s project overhead is calculated as a percentage of all programme costs. SCNL applies an overhead percentage for structural development programmes of 8% ICR on direct costs, in line with other proposals that have been accepted by Netherlands’ Embassies, even though this percentage is not enough to cover all SCNL overhead costs. The 8% ICR contributes to cover the following costs:
1. Costs of SCNL that can’t be charged directly to projects:
a.	General staff costs of SCNL (overall management, secretariat, administration, communication);
b.	Office rent Head Quarters (The Hague);
c.	Office- and general costs of SCNL (HQ office supplies, travel, advice, external accountant, data management, membership Save the Children International);
d.	SCNL depreciation costs.
2. SC International overhead costs for HO in London and Regional Offices, that manage and support the Country Offices.</t>
  </si>
  <si>
    <t>in-country costs:</t>
  </si>
  <si>
    <t>sci bfa</t>
  </si>
  <si>
    <t>scnl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</si>
</sst>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64" formatCode="_-* #,##0.00_-;\-* #,##0.00_-;_-* &quot;-&quot;??_-;_-@_-"/>
    <numFmt numFmtId="165" formatCode="_-* #,##0.00\ _€_-;\-* #,##0.00\ _€_-;_-* &quot;-&quot;??\ _€_-;_-@_-"/>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1"/>
      <color rgb="FF00B0F0"/>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sz val="10"/>
      <color theme="0"/>
      <name val="Calibri"/>
      <family val="2"/>
      <scheme val="minor"/>
    </font>
    <font>
      <sz val="10"/>
      <name val="Arial"/>
      <family val="2"/>
    </font>
    <font>
      <sz val="10"/>
      <color rgb="FF00B0F0"/>
      <name val="Arial"/>
      <family val="2"/>
    </font>
    <font>
      <sz val="11"/>
      <color theme="7" tint="0.79998168889431442"/>
      <name val="Calibri"/>
      <family val="2"/>
      <scheme val="minor"/>
    </font>
    <font>
      <b/>
      <sz val="11"/>
      <name val="Calibri"/>
      <family val="2"/>
      <scheme val="minor"/>
    </font>
    <font>
      <b/>
      <sz val="11"/>
      <color rgb="FF00B0F0"/>
      <name val="Calibri"/>
      <family val="2"/>
      <scheme val="minor"/>
    </font>
    <font>
      <b/>
      <sz val="12"/>
      <name val="Arial"/>
      <family val="2"/>
    </font>
    <font>
      <sz val="11"/>
      <name val="Calibri"/>
      <family val="2"/>
      <scheme val="minor"/>
    </font>
    <font>
      <b/>
      <i/>
      <sz val="11"/>
      <name val="Calibri"/>
      <family val="2"/>
      <scheme val="minor"/>
    </font>
    <font>
      <b/>
      <i/>
      <sz val="11"/>
      <color theme="1"/>
      <name val="Calibri"/>
      <family val="2"/>
      <scheme val="minor"/>
    </font>
    <font>
      <i/>
      <sz val="11"/>
      <name val="Calibri"/>
      <family val="2"/>
      <scheme val="minor"/>
    </font>
    <font>
      <sz val="12"/>
      <color theme="1"/>
      <name val="Calibri"/>
      <family val="2"/>
      <scheme val="minor"/>
    </font>
    <font>
      <i/>
      <sz val="11"/>
      <color theme="1"/>
      <name val="Calibri"/>
      <family val="2"/>
      <scheme val="minor"/>
    </font>
    <font>
      <b/>
      <i/>
      <sz val="10"/>
      <name val="Arial"/>
      <family val="2"/>
    </font>
    <font>
      <i/>
      <sz val="11"/>
      <color rgb="FF00B0F0"/>
      <name val="Calibri"/>
      <family val="2"/>
      <scheme val="minor"/>
    </font>
    <font>
      <sz val="11"/>
      <color indexed="8"/>
      <name val="Calibri"/>
      <family val="2"/>
      <scheme val="minor"/>
    </font>
    <font>
      <b/>
      <i/>
      <sz val="11"/>
      <color rgb="FF00B0F0"/>
      <name val="Calibri"/>
      <family val="2"/>
      <scheme val="minor"/>
    </font>
    <font>
      <sz val="11"/>
      <color rgb="FF000000"/>
      <name val="Calibri"/>
      <family val="2"/>
      <scheme val="minor"/>
    </font>
    <font>
      <sz val="11"/>
      <name val="Arial"/>
      <family val="2"/>
    </font>
    <font>
      <i/>
      <sz val="11"/>
      <color rgb="FF000000"/>
      <name val="Calibri"/>
      <family val="2"/>
      <scheme val="minor"/>
    </font>
    <font>
      <i/>
      <sz val="11"/>
      <color indexed="8"/>
      <name val="Calibri"/>
      <family val="2"/>
    </font>
    <font>
      <sz val="11"/>
      <color indexed="8"/>
      <name val="Calibri"/>
      <family val="2"/>
    </font>
    <font>
      <b/>
      <sz val="11"/>
      <name val="Calibri"/>
      <family val="2"/>
    </font>
    <font>
      <sz val="11"/>
      <color rgb="FF000000"/>
      <name val="Calibri"/>
      <family val="2"/>
    </font>
  </fonts>
  <fills count="11">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rgb="FF92D050"/>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C0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164" fontId="9" fillId="0" borderId="0" applyFont="0" applyFill="0" applyBorder="0" applyAlignment="0" applyProtection="0"/>
    <xf numFmtId="165" fontId="19" fillId="0" borderId="0" applyFont="0" applyFill="0" applyBorder="0" applyAlignment="0" applyProtection="0"/>
    <xf numFmtId="0" fontId="9" fillId="0" borderId="0"/>
    <xf numFmtId="0" fontId="1" fillId="0" borderId="0"/>
  </cellStyleXfs>
  <cellXfs count="391">
    <xf numFmtId="0" fontId="0" fillId="0" borderId="0" xfId="0"/>
    <xf numFmtId="0" fontId="3" fillId="0" borderId="0" xfId="0" applyFont="1" applyAlignment="1">
      <alignment vertical="center"/>
    </xf>
    <xf numFmtId="0" fontId="3" fillId="0" borderId="0" xfId="0" applyFont="1" applyAlignment="1">
      <alignment horizontal="left" vertical="center" wrapText="1"/>
    </xf>
    <xf numFmtId="0" fontId="0" fillId="0" borderId="0" xfId="0" applyAlignment="1">
      <alignment horizontal="center" vertical="center"/>
    </xf>
    <xf numFmtId="0" fontId="4" fillId="0" borderId="0" xfId="0" applyFont="1" applyAlignment="1">
      <alignment horizontal="center" vertical="center"/>
    </xf>
    <xf numFmtId="49" fontId="0" fillId="0" borderId="0" xfId="0" applyNumberFormat="1" applyAlignment="1">
      <alignment horizontal="center" vertical="center"/>
    </xf>
    <xf numFmtId="4" fontId="0" fillId="0" borderId="0" xfId="0" applyNumberFormat="1" applyAlignment="1">
      <alignment horizontal="center" vertical="center"/>
    </xf>
    <xf numFmtId="3" fontId="0" fillId="0" borderId="0" xfId="0" applyNumberFormat="1" applyAlignment="1">
      <alignment horizontal="right"/>
    </xf>
    <xf numFmtId="0" fontId="4" fillId="0" borderId="0" xfId="0" applyFont="1"/>
    <xf numFmtId="3" fontId="0" fillId="0" borderId="0" xfId="0" applyNumberFormat="1"/>
    <xf numFmtId="14" fontId="5" fillId="0" borderId="0" xfId="0" applyNumberFormat="1" applyFont="1"/>
    <xf numFmtId="0" fontId="6" fillId="0" borderId="0" xfId="4" applyFont="1" applyAlignment="1">
      <alignment vertical="center" wrapText="1"/>
    </xf>
    <xf numFmtId="0" fontId="7" fillId="0" borderId="0" xfId="0" applyFont="1" applyAlignment="1">
      <alignment vertical="center" wrapText="1"/>
    </xf>
    <xf numFmtId="3" fontId="8" fillId="0" borderId="0" xfId="0" applyNumberFormat="1" applyFont="1"/>
    <xf numFmtId="0" fontId="0" fillId="0" borderId="0" xfId="0" applyAlignment="1">
      <alignment vertical="center" wrapText="1"/>
    </xf>
    <xf numFmtId="0" fontId="6" fillId="0" borderId="0" xfId="4" applyFont="1" applyAlignment="1">
      <alignment vertical="center" wrapText="1"/>
    </xf>
    <xf numFmtId="0" fontId="9" fillId="0" borderId="0" xfId="0" applyFont="1" applyAlignment="1">
      <alignment horizontal="center" vertical="center"/>
    </xf>
    <xf numFmtId="0" fontId="10" fillId="0" borderId="0" xfId="0" applyFont="1" applyAlignment="1">
      <alignment horizontal="center" vertical="center"/>
    </xf>
    <xf numFmtId="3" fontId="11" fillId="0" borderId="0" xfId="0" applyNumberFormat="1" applyFont="1" applyAlignment="1">
      <alignment horizontal="right"/>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2" xfId="0" applyBorder="1" applyAlignment="1">
      <alignment wrapText="1"/>
    </xf>
    <xf numFmtId="0" fontId="0" fillId="0" borderId="3" xfId="0" applyBorder="1" applyAlignment="1">
      <alignment wrapText="1"/>
    </xf>
    <xf numFmtId="0" fontId="3" fillId="0" borderId="4" xfId="0" applyFont="1" applyBorder="1" applyAlignment="1">
      <alignment horizont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0" xfId="0" applyAlignment="1">
      <alignment vertical="center"/>
    </xf>
    <xf numFmtId="0" fontId="13" fillId="0" borderId="6" xfId="0" applyFont="1" applyBorder="1" applyAlignment="1">
      <alignment horizontal="center" vertical="center"/>
    </xf>
    <xf numFmtId="0" fontId="4" fillId="0" borderId="0" xfId="0" applyFont="1" applyAlignment="1">
      <alignment vertical="center"/>
    </xf>
    <xf numFmtId="0" fontId="12" fillId="0" borderId="4" xfId="0" applyFont="1" applyBorder="1" applyAlignment="1">
      <alignment horizontal="center" vertical="center"/>
    </xf>
    <xf numFmtId="0" fontId="12" fillId="0" borderId="5" xfId="0" applyFont="1" applyBorder="1" applyAlignment="1">
      <alignment horizontal="center" vertical="center" wrapText="1"/>
    </xf>
    <xf numFmtId="49" fontId="12" fillId="0" borderId="5" xfId="0" applyNumberFormat="1" applyFont="1" applyBorder="1" applyAlignment="1">
      <alignment horizontal="center" vertical="center" wrapText="1"/>
    </xf>
    <xf numFmtId="4" fontId="12" fillId="0" borderId="5" xfId="0" applyNumberFormat="1" applyFont="1" applyBorder="1" applyAlignment="1">
      <alignment horizontal="center" vertical="center" wrapText="1"/>
    </xf>
    <xf numFmtId="3" fontId="12" fillId="0" borderId="5" xfId="1" applyNumberFormat="1" applyFont="1" applyBorder="1" applyAlignment="1">
      <alignment horizontal="center" vertical="center" wrapText="1"/>
    </xf>
    <xf numFmtId="3" fontId="12" fillId="0" borderId="5"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3" fillId="0" borderId="4" xfId="0" applyFont="1" applyBorder="1" applyAlignment="1">
      <alignment vertical="center"/>
    </xf>
    <xf numFmtId="0" fontId="12" fillId="0" borderId="4" xfId="0" applyFont="1" applyBorder="1" applyAlignment="1">
      <alignment horizontal="center" vertical="center" wrapText="1"/>
    </xf>
    <xf numFmtId="0" fontId="0" fillId="0" borderId="4" xfId="0" applyBorder="1" applyAlignment="1">
      <alignment horizontal="center" vertical="center"/>
    </xf>
    <xf numFmtId="49" fontId="0" fillId="0" borderId="4" xfId="0" applyNumberFormat="1" applyBorder="1" applyAlignment="1">
      <alignment horizontal="center" vertical="center"/>
    </xf>
    <xf numFmtId="4" fontId="0" fillId="0" borderId="4" xfId="0" applyNumberFormat="1" applyBorder="1" applyAlignment="1">
      <alignment horizontal="center" vertical="center" wrapText="1"/>
    </xf>
    <xf numFmtId="3" fontId="0" fillId="0" borderId="4" xfId="0" applyNumberFormat="1" applyBorder="1" applyAlignment="1">
      <alignment horizontal="right" vertical="center" wrapText="1"/>
    </xf>
    <xf numFmtId="0" fontId="4" fillId="0" borderId="4" xfId="0" applyFont="1" applyBorder="1" applyAlignment="1">
      <alignment horizontal="center" vertical="center"/>
    </xf>
    <xf numFmtId="0" fontId="14" fillId="2" borderId="4" xfId="0" applyFont="1" applyFill="1" applyBorder="1" applyAlignment="1">
      <alignment horizontal="center" vertical="center"/>
    </xf>
    <xf numFmtId="0" fontId="12" fillId="2" borderId="4" xfId="0" applyFont="1" applyFill="1" applyBorder="1" applyAlignment="1">
      <alignment horizontal="left" vertical="center" wrapText="1"/>
    </xf>
    <xf numFmtId="0" fontId="15" fillId="2" borderId="4" xfId="0" applyFont="1" applyFill="1" applyBorder="1" applyAlignment="1">
      <alignment horizontal="center" vertical="center"/>
    </xf>
    <xf numFmtId="49" fontId="0" fillId="2" borderId="4" xfId="0" applyNumberFormat="1" applyFill="1" applyBorder="1" applyAlignment="1">
      <alignment horizontal="center" vertical="center"/>
    </xf>
    <xf numFmtId="4" fontId="0" fillId="2" borderId="4" xfId="0" applyNumberFormat="1" applyFill="1" applyBorder="1" applyAlignment="1">
      <alignment horizontal="center" vertical="center" wrapText="1"/>
    </xf>
    <xf numFmtId="3" fontId="15" fillId="2" borderId="4" xfId="5" applyNumberFormat="1" applyFont="1" applyFill="1" applyBorder="1" applyAlignment="1">
      <alignment horizontal="right" vertical="center" wrapText="1"/>
    </xf>
    <xf numFmtId="0" fontId="4" fillId="2" borderId="4" xfId="0" applyFont="1" applyFill="1" applyBorder="1" applyAlignment="1">
      <alignment horizontal="center" vertical="center"/>
    </xf>
    <xf numFmtId="0" fontId="3" fillId="0" borderId="4" xfId="0" applyFont="1" applyBorder="1" applyAlignment="1">
      <alignment horizontal="center" vertical="center"/>
    </xf>
    <xf numFmtId="0" fontId="12" fillId="0" borderId="4" xfId="0" applyFont="1" applyBorder="1" applyAlignment="1">
      <alignment vertical="center" wrapText="1"/>
    </xf>
    <xf numFmtId="3" fontId="15" fillId="0" borderId="4" xfId="5" applyNumberFormat="1" applyFont="1" applyBorder="1" applyAlignment="1">
      <alignment horizontal="right" vertical="center" wrapText="1"/>
    </xf>
    <xf numFmtId="0" fontId="3" fillId="3" borderId="4" xfId="0" applyFont="1" applyFill="1" applyBorder="1" applyAlignment="1">
      <alignment horizontal="center" vertical="center"/>
    </xf>
    <xf numFmtId="0" fontId="12" fillId="3" borderId="4" xfId="0" applyFont="1" applyFill="1" applyBorder="1" applyAlignment="1">
      <alignment vertical="center" wrapText="1"/>
    </xf>
    <xf numFmtId="0" fontId="0" fillId="3" borderId="4" xfId="0" applyFill="1" applyBorder="1" applyAlignment="1">
      <alignment horizontal="center" vertical="center"/>
    </xf>
    <xf numFmtId="49" fontId="0" fillId="3" borderId="4" xfId="0" applyNumberFormat="1" applyFill="1" applyBorder="1" applyAlignment="1">
      <alignment horizontal="center" vertical="center"/>
    </xf>
    <xf numFmtId="4" fontId="0" fillId="3" borderId="4" xfId="0" applyNumberFormat="1" applyFill="1" applyBorder="1" applyAlignment="1">
      <alignment horizontal="center" vertical="center" wrapText="1"/>
    </xf>
    <xf numFmtId="3" fontId="15" fillId="3" borderId="4" xfId="5" applyNumberFormat="1" applyFont="1" applyFill="1" applyBorder="1" applyAlignment="1">
      <alignment horizontal="right" vertical="center" wrapText="1"/>
    </xf>
    <xf numFmtId="0" fontId="4" fillId="3" borderId="4" xfId="0" applyFont="1" applyFill="1" applyBorder="1" applyAlignment="1">
      <alignment horizontal="center" vertical="center"/>
    </xf>
    <xf numFmtId="0" fontId="12" fillId="4" borderId="4" xfId="0" applyFont="1" applyFill="1" applyBorder="1" applyAlignment="1">
      <alignment vertical="center" wrapText="1"/>
    </xf>
    <xf numFmtId="0" fontId="0" fillId="4" borderId="4" xfId="0" applyFill="1" applyBorder="1" applyAlignment="1">
      <alignment horizontal="center" vertical="center"/>
    </xf>
    <xf numFmtId="49" fontId="0" fillId="4" borderId="4" xfId="0" applyNumberFormat="1" applyFill="1" applyBorder="1" applyAlignment="1">
      <alignment horizontal="center" vertical="center"/>
    </xf>
    <xf numFmtId="4" fontId="0" fillId="4" borderId="4" xfId="0" applyNumberFormat="1" applyFill="1" applyBorder="1" applyAlignment="1">
      <alignment horizontal="center" vertical="center" wrapText="1"/>
    </xf>
    <xf numFmtId="3" fontId="15" fillId="4" borderId="4" xfId="5" applyNumberFormat="1" applyFont="1" applyFill="1" applyBorder="1" applyAlignment="1">
      <alignment horizontal="right" vertical="center" wrapText="1"/>
    </xf>
    <xf numFmtId="3" fontId="12" fillId="4" borderId="4" xfId="5" applyNumberFormat="1" applyFont="1" applyFill="1" applyBorder="1" applyAlignment="1">
      <alignment horizontal="right" vertical="center" wrapText="1"/>
    </xf>
    <xf numFmtId="0" fontId="4" fillId="4" borderId="4" xfId="0" applyFont="1" applyFill="1" applyBorder="1" applyAlignment="1">
      <alignment horizontal="center" vertical="center"/>
    </xf>
    <xf numFmtId="0" fontId="16" fillId="0" borderId="4" xfId="0" applyFont="1" applyBorder="1" applyAlignment="1">
      <alignment horizontal="left" vertical="center" wrapText="1"/>
    </xf>
    <xf numFmtId="3" fontId="17" fillId="0" borderId="4" xfId="0" applyNumberFormat="1" applyFont="1" applyBorder="1" applyAlignment="1">
      <alignment horizontal="right" vertical="center" wrapText="1"/>
    </xf>
    <xf numFmtId="0" fontId="18" fillId="0" borderId="4" xfId="0" applyFont="1" applyBorder="1" applyAlignment="1">
      <alignment horizontal="left" vertical="center" wrapText="1"/>
    </xf>
    <xf numFmtId="0" fontId="15" fillId="0" borderId="4" xfId="0" applyFont="1" applyBorder="1" applyAlignment="1">
      <alignment horizontal="center" vertical="center"/>
    </xf>
    <xf numFmtId="49" fontId="15" fillId="0" borderId="4" xfId="0" applyNumberFormat="1" applyFont="1" applyBorder="1" applyAlignment="1">
      <alignment horizontal="center" vertical="center"/>
    </xf>
    <xf numFmtId="4" fontId="15" fillId="0" borderId="4" xfId="0" applyNumberFormat="1" applyFont="1" applyBorder="1" applyAlignment="1">
      <alignment horizontal="center" vertical="center" wrapText="1"/>
    </xf>
    <xf numFmtId="3" fontId="15" fillId="0" borderId="4" xfId="0" applyNumberFormat="1" applyFont="1" applyBorder="1" applyAlignment="1">
      <alignment horizontal="right" vertical="center" wrapText="1"/>
    </xf>
    <xf numFmtId="3" fontId="18" fillId="0" borderId="4" xfId="5" applyNumberFormat="1" applyFont="1" applyFill="1" applyBorder="1" applyAlignment="1">
      <alignment horizontal="right" vertical="center" wrapText="1"/>
    </xf>
    <xf numFmtId="0" fontId="0" fillId="0" borderId="4" xfId="0" applyBorder="1" applyAlignment="1">
      <alignment vertical="center"/>
    </xf>
    <xf numFmtId="3" fontId="0" fillId="0" borderId="4" xfId="0" applyNumberFormat="1" applyBorder="1" applyAlignment="1">
      <alignment horizontal="right" vertical="center"/>
    </xf>
    <xf numFmtId="4" fontId="0" fillId="0" borderId="4" xfId="0" applyNumberFormat="1" applyBorder="1" applyAlignment="1">
      <alignment horizontal="center" vertical="center"/>
    </xf>
    <xf numFmtId="4" fontId="15" fillId="0" borderId="4" xfId="6" applyNumberFormat="1" applyFont="1" applyFill="1" applyBorder="1" applyAlignment="1">
      <alignment horizontal="center" vertical="center" wrapText="1"/>
    </xf>
    <xf numFmtId="3" fontId="15" fillId="0" borderId="4" xfId="6" applyNumberFormat="1" applyFont="1" applyFill="1" applyBorder="1" applyAlignment="1">
      <alignment horizontal="right" vertical="center" wrapText="1"/>
    </xf>
    <xf numFmtId="0" fontId="15" fillId="0" borderId="4" xfId="0" applyFont="1" applyBorder="1" applyAlignment="1">
      <alignment vertical="center"/>
    </xf>
    <xf numFmtId="0" fontId="15" fillId="0" borderId="4" xfId="7" applyFont="1" applyBorder="1" applyAlignment="1">
      <alignment horizontal="left" vertical="center" wrapText="1"/>
    </xf>
    <xf numFmtId="0" fontId="15" fillId="0" borderId="4" xfId="0" applyFont="1" applyBorder="1" applyAlignment="1">
      <alignment vertical="center" wrapText="1"/>
    </xf>
    <xf numFmtId="0" fontId="0" fillId="0" borderId="4" xfId="0" applyBorder="1" applyAlignment="1">
      <alignment horizontal="center" vertical="center" wrapText="1"/>
    </xf>
    <xf numFmtId="3" fontId="0" fillId="0" borderId="3" xfId="0" applyNumberFormat="1" applyBorder="1" applyAlignment="1">
      <alignment horizontal="right" vertical="center"/>
    </xf>
    <xf numFmtId="3" fontId="15" fillId="0" borderId="4" xfId="5" applyNumberFormat="1" applyFont="1" applyFill="1" applyBorder="1" applyAlignment="1">
      <alignment horizontal="right" vertical="center" wrapText="1"/>
    </xf>
    <xf numFmtId="0" fontId="4" fillId="0" borderId="4" xfId="0" applyFont="1" applyBorder="1" applyAlignment="1">
      <alignment horizontal="center" vertical="center" wrapText="1"/>
    </xf>
    <xf numFmtId="3" fontId="20" fillId="0" borderId="4" xfId="0" applyNumberFormat="1" applyFont="1" applyBorder="1" applyAlignment="1">
      <alignment horizontal="right" vertical="center" wrapText="1"/>
    </xf>
    <xf numFmtId="0" fontId="15" fillId="0" borderId="4" xfId="0" applyFont="1" applyBorder="1" applyAlignment="1">
      <alignment horizontal="left" vertical="center" wrapText="1"/>
    </xf>
    <xf numFmtId="0" fontId="18" fillId="0" borderId="4" xfId="0" applyFont="1" applyBorder="1" applyAlignment="1">
      <alignment vertical="center" wrapText="1"/>
    </xf>
    <xf numFmtId="0" fontId="21" fillId="0" borderId="4" xfId="0" applyFont="1" applyBorder="1" applyAlignment="1">
      <alignment vertical="center"/>
    </xf>
    <xf numFmtId="0" fontId="18" fillId="0" borderId="4" xfId="0" applyFont="1" applyBorder="1" applyAlignment="1">
      <alignment horizontal="center" vertical="center"/>
    </xf>
    <xf numFmtId="49" fontId="18" fillId="0" borderId="4" xfId="0" applyNumberFormat="1" applyFont="1" applyBorder="1" applyAlignment="1">
      <alignment horizontal="center" vertical="center"/>
    </xf>
    <xf numFmtId="4" fontId="20" fillId="0" borderId="4" xfId="0" applyNumberFormat="1" applyFont="1" applyBorder="1" applyAlignment="1">
      <alignment horizontal="center" vertical="center" wrapText="1"/>
    </xf>
    <xf numFmtId="0" fontId="20" fillId="0" borderId="0" xfId="0" applyFont="1" applyAlignment="1">
      <alignment vertical="center"/>
    </xf>
    <xf numFmtId="0" fontId="22" fillId="0" borderId="4" xfId="0" applyFont="1" applyBorder="1" applyAlignment="1">
      <alignment horizontal="center" vertical="center"/>
    </xf>
    <xf numFmtId="0" fontId="22" fillId="0" borderId="0" xfId="0" applyFont="1" applyAlignment="1">
      <alignment vertical="center"/>
    </xf>
    <xf numFmtId="3" fontId="20" fillId="0" borderId="0" xfId="0" applyNumberFormat="1" applyFont="1"/>
    <xf numFmtId="0" fontId="20" fillId="0" borderId="0" xfId="0" applyFont="1"/>
    <xf numFmtId="0" fontId="15" fillId="0" borderId="4" xfId="0" applyFont="1" applyBorder="1" applyAlignment="1">
      <alignment horizontal="left" vertical="center"/>
    </xf>
    <xf numFmtId="0" fontId="15" fillId="0" borderId="4" xfId="0" applyFont="1" applyBorder="1" applyAlignment="1">
      <alignment horizontal="center" vertical="center" wrapText="1"/>
    </xf>
    <xf numFmtId="0" fontId="16" fillId="5" borderId="4" xfId="0" applyFont="1" applyFill="1" applyBorder="1" applyAlignment="1">
      <alignment vertical="center" wrapText="1"/>
    </xf>
    <xf numFmtId="0" fontId="15" fillId="5" borderId="4" xfId="0" applyFont="1" applyFill="1" applyBorder="1" applyAlignment="1">
      <alignment horizontal="center" vertical="center"/>
    </xf>
    <xf numFmtId="0" fontId="0" fillId="5" borderId="4" xfId="0" applyFill="1" applyBorder="1" applyAlignment="1">
      <alignment horizontal="center" vertical="center"/>
    </xf>
    <xf numFmtId="4" fontId="0" fillId="5" borderId="4" xfId="0" applyNumberFormat="1" applyFill="1" applyBorder="1" applyAlignment="1">
      <alignment horizontal="center" vertical="center"/>
    </xf>
    <xf numFmtId="3" fontId="0" fillId="5" borderId="4" xfId="0" applyNumberFormat="1" applyFill="1" applyBorder="1" applyAlignment="1">
      <alignment vertical="center"/>
    </xf>
    <xf numFmtId="3" fontId="16" fillId="5" borderId="4" xfId="5" applyNumberFormat="1" applyFont="1" applyFill="1" applyBorder="1" applyAlignment="1">
      <alignment vertical="center" wrapText="1"/>
    </xf>
    <xf numFmtId="49" fontId="15" fillId="5" borderId="4" xfId="0" applyNumberFormat="1" applyFont="1" applyFill="1" applyBorder="1" applyAlignment="1">
      <alignment horizontal="center" vertical="center"/>
    </xf>
    <xf numFmtId="4" fontId="15" fillId="5" borderId="4" xfId="0" applyNumberFormat="1" applyFont="1" applyFill="1" applyBorder="1" applyAlignment="1">
      <alignment horizontal="center" vertical="center" wrapText="1"/>
    </xf>
    <xf numFmtId="3" fontId="15" fillId="5" borderId="4" xfId="3" applyNumberFormat="1" applyFont="1" applyFill="1" applyBorder="1" applyAlignment="1">
      <alignment vertical="center" wrapText="1"/>
    </xf>
    <xf numFmtId="0" fontId="0" fillId="0" borderId="7" xfId="0" applyBorder="1" applyAlignment="1">
      <alignment vertical="center"/>
    </xf>
    <xf numFmtId="0" fontId="4" fillId="5" borderId="4" xfId="0" applyFont="1" applyFill="1" applyBorder="1" applyAlignment="1">
      <alignment horizontal="center" vertical="center"/>
    </xf>
    <xf numFmtId="0" fontId="4" fillId="0" borderId="7" xfId="0" applyFont="1" applyBorder="1" applyAlignment="1">
      <alignment vertical="center"/>
    </xf>
    <xf numFmtId="0" fontId="18" fillId="5" borderId="4" xfId="0" applyFont="1" applyFill="1" applyBorder="1" applyAlignment="1">
      <alignment vertical="center" wrapText="1"/>
    </xf>
    <xf numFmtId="3" fontId="18" fillId="5" borderId="4" xfId="5" applyNumberFormat="1" applyFont="1" applyFill="1" applyBorder="1" applyAlignment="1">
      <alignment vertical="center" wrapText="1"/>
    </xf>
    <xf numFmtId="0" fontId="15" fillId="5" borderId="4" xfId="0" applyFont="1" applyFill="1" applyBorder="1" applyAlignment="1">
      <alignment vertical="center" wrapText="1"/>
    </xf>
    <xf numFmtId="0" fontId="1" fillId="5" borderId="4" xfId="4" applyFill="1" applyBorder="1" applyAlignment="1">
      <alignment horizontal="center" vertical="center"/>
    </xf>
    <xf numFmtId="3" fontId="15" fillId="5" borderId="4" xfId="4" applyNumberFormat="1" applyFont="1" applyFill="1" applyBorder="1" applyAlignment="1">
      <alignment horizontal="center" vertical="center"/>
    </xf>
    <xf numFmtId="4" fontId="15" fillId="5" borderId="4" xfId="4" applyNumberFormat="1" applyFont="1" applyFill="1" applyBorder="1" applyAlignment="1">
      <alignment horizontal="center" vertical="center"/>
    </xf>
    <xf numFmtId="3" fontId="15" fillId="5" borderId="4" xfId="4" applyNumberFormat="1" applyFont="1" applyFill="1" applyBorder="1" applyAlignment="1">
      <alignment vertical="center"/>
    </xf>
    <xf numFmtId="0" fontId="4" fillId="5" borderId="4" xfId="4" applyFont="1" applyFill="1" applyBorder="1" applyAlignment="1">
      <alignment horizontal="center" vertical="center"/>
    </xf>
    <xf numFmtId="3" fontId="18" fillId="5" borderId="4" xfId="4" applyNumberFormat="1" applyFont="1" applyFill="1" applyBorder="1" applyAlignment="1">
      <alignment vertical="center"/>
    </xf>
    <xf numFmtId="0" fontId="15" fillId="5" borderId="4" xfId="4" applyFont="1" applyFill="1" applyBorder="1" applyAlignment="1">
      <alignment vertical="center" wrapText="1"/>
    </xf>
    <xf numFmtId="0" fontId="15" fillId="5" borderId="4" xfId="4" applyFont="1" applyFill="1" applyBorder="1" applyAlignment="1">
      <alignment horizontal="center" vertical="center" wrapText="1"/>
    </xf>
    <xf numFmtId="3" fontId="15" fillId="5" borderId="4" xfId="4" applyNumberFormat="1" applyFont="1" applyFill="1" applyBorder="1" applyAlignment="1">
      <alignment horizontal="center" vertical="center" wrapText="1"/>
    </xf>
    <xf numFmtId="4" fontId="15" fillId="5" borderId="4" xfId="4" applyNumberFormat="1" applyFont="1" applyFill="1" applyBorder="1" applyAlignment="1">
      <alignment horizontal="center" vertical="center" wrapText="1"/>
    </xf>
    <xf numFmtId="3" fontId="15" fillId="5" borderId="4" xfId="4" applyNumberFormat="1" applyFont="1" applyFill="1" applyBorder="1" applyAlignment="1">
      <alignment vertical="center" wrapText="1"/>
    </xf>
    <xf numFmtId="0" fontId="1" fillId="5" borderId="4" xfId="4" applyFill="1" applyBorder="1" applyAlignment="1">
      <alignment vertical="center" wrapText="1"/>
    </xf>
    <xf numFmtId="0" fontId="1" fillId="5" borderId="4" xfId="4" applyFill="1" applyBorder="1" applyAlignment="1">
      <alignment horizontal="center" vertical="center" wrapText="1"/>
    </xf>
    <xf numFmtId="0" fontId="23" fillId="5" borderId="4" xfId="8" applyFont="1" applyFill="1" applyBorder="1" applyAlignment="1">
      <alignment horizontal="center" vertical="center" wrapText="1"/>
    </xf>
    <xf numFmtId="3" fontId="15" fillId="5" borderId="4" xfId="8" applyNumberFormat="1" applyFont="1" applyFill="1" applyBorder="1" applyAlignment="1">
      <alignment horizontal="center" vertical="center" wrapText="1"/>
    </xf>
    <xf numFmtId="4" fontId="15" fillId="5" borderId="4" xfId="8" applyNumberFormat="1" applyFont="1" applyFill="1" applyBorder="1" applyAlignment="1">
      <alignment horizontal="center" vertical="center" wrapText="1"/>
    </xf>
    <xf numFmtId="3" fontId="15" fillId="5" borderId="4" xfId="1" applyNumberFormat="1" applyFont="1" applyFill="1" applyBorder="1" applyAlignment="1">
      <alignment vertical="center" wrapText="1"/>
    </xf>
    <xf numFmtId="0" fontId="16" fillId="0" borderId="4" xfId="0" applyFont="1" applyBorder="1" applyAlignment="1">
      <alignment vertical="center" wrapText="1"/>
    </xf>
    <xf numFmtId="49" fontId="20" fillId="0" borderId="4" xfId="0" applyNumberFormat="1" applyFont="1" applyBorder="1" applyAlignment="1">
      <alignment horizontal="center" vertical="center"/>
    </xf>
    <xf numFmtId="3" fontId="16" fillId="0" borderId="4" xfId="5" applyNumberFormat="1" applyFont="1" applyFill="1" applyBorder="1" applyAlignment="1">
      <alignment horizontal="right" vertical="center" wrapText="1"/>
    </xf>
    <xf numFmtId="3" fontId="18" fillId="0" borderId="4" xfId="5" applyNumberFormat="1" applyFont="1" applyBorder="1" applyAlignment="1">
      <alignment horizontal="right" vertical="center" wrapText="1"/>
    </xf>
    <xf numFmtId="4" fontId="15" fillId="6" borderId="4" xfId="6" applyNumberFormat="1" applyFont="1" applyFill="1" applyBorder="1" applyAlignment="1">
      <alignment horizontal="center" vertical="center" wrapText="1"/>
    </xf>
    <xf numFmtId="3" fontId="15" fillId="6" borderId="4" xfId="6" applyNumberFormat="1" applyFont="1" applyFill="1" applyBorder="1" applyAlignment="1">
      <alignment horizontal="right" vertical="center" wrapText="1"/>
    </xf>
    <xf numFmtId="4" fontId="15" fillId="0" borderId="4" xfId="6" applyNumberFormat="1" applyFont="1" applyBorder="1" applyAlignment="1">
      <alignment horizontal="center" vertical="center" wrapText="1"/>
    </xf>
    <xf numFmtId="3" fontId="15" fillId="0" borderId="4" xfId="6" applyNumberFormat="1" applyFont="1" applyBorder="1" applyAlignment="1">
      <alignment horizontal="right" vertical="center" wrapText="1"/>
    </xf>
    <xf numFmtId="3" fontId="18" fillId="0" borderId="4" xfId="0" applyNumberFormat="1" applyFont="1" applyBorder="1" applyAlignment="1">
      <alignment horizontal="right" vertical="center" wrapText="1"/>
    </xf>
    <xf numFmtId="3" fontId="9" fillId="0" borderId="4" xfId="5" applyNumberFormat="1" applyBorder="1" applyAlignment="1">
      <alignment vertical="center" wrapText="1"/>
    </xf>
    <xf numFmtId="3" fontId="0" fillId="0" borderId="5" xfId="0" applyNumberFormat="1" applyBorder="1" applyAlignment="1">
      <alignment horizontal="right" vertical="center" wrapText="1"/>
    </xf>
    <xf numFmtId="3" fontId="0" fillId="6" borderId="5" xfId="0" applyNumberFormat="1" applyFill="1" applyBorder="1" applyAlignment="1">
      <alignment horizontal="right" vertical="center" wrapText="1"/>
    </xf>
    <xf numFmtId="0" fontId="17" fillId="5" borderId="4" xfId="0" applyFont="1" applyFill="1" applyBorder="1" applyAlignment="1">
      <alignment horizontal="center" vertical="center"/>
    </xf>
    <xf numFmtId="4" fontId="17" fillId="5" borderId="4" xfId="0" applyNumberFormat="1" applyFont="1" applyFill="1" applyBorder="1" applyAlignment="1">
      <alignment horizontal="center" vertical="center"/>
    </xf>
    <xf numFmtId="3" fontId="17" fillId="5" borderId="4" xfId="0" applyNumberFormat="1" applyFont="1" applyFill="1" applyBorder="1" applyAlignment="1">
      <alignment vertical="center"/>
    </xf>
    <xf numFmtId="3" fontId="15" fillId="5" borderId="4" xfId="0" applyNumberFormat="1" applyFont="1" applyFill="1" applyBorder="1" applyAlignment="1">
      <alignment horizontal="right" vertical="center" wrapText="1"/>
    </xf>
    <xf numFmtId="3" fontId="16" fillId="5" borderId="4" xfId="5" applyNumberFormat="1" applyFont="1" applyFill="1" applyBorder="1" applyAlignment="1">
      <alignment horizontal="right" vertical="center" wrapText="1"/>
    </xf>
    <xf numFmtId="0" fontId="17" fillId="0" borderId="0" xfId="0" applyFont="1" applyAlignment="1">
      <alignment vertical="center"/>
    </xf>
    <xf numFmtId="0" fontId="17" fillId="0" borderId="7" xfId="0" applyFont="1" applyBorder="1" applyAlignment="1">
      <alignment vertical="center"/>
    </xf>
    <xf numFmtId="0" fontId="24" fillId="0" borderId="0" xfId="0" applyFont="1" applyAlignment="1">
      <alignment vertical="center"/>
    </xf>
    <xf numFmtId="0" fontId="24" fillId="0" borderId="7" xfId="0" applyFont="1" applyBorder="1" applyAlignment="1">
      <alignment vertical="center"/>
    </xf>
    <xf numFmtId="0" fontId="20" fillId="5" borderId="4" xfId="0" applyFont="1" applyFill="1" applyBorder="1" applyAlignment="1">
      <alignment horizontal="center" vertical="center"/>
    </xf>
    <xf numFmtId="3" fontId="18" fillId="5" borderId="4" xfId="4" applyNumberFormat="1" applyFont="1" applyFill="1" applyBorder="1" applyAlignment="1">
      <alignment horizontal="center" vertical="center" wrapText="1"/>
    </xf>
    <xf numFmtId="4" fontId="18" fillId="5" borderId="4" xfId="4" applyNumberFormat="1" applyFont="1" applyFill="1" applyBorder="1" applyAlignment="1">
      <alignment horizontal="center" vertical="center"/>
    </xf>
    <xf numFmtId="3" fontId="18" fillId="5" borderId="4" xfId="1" applyNumberFormat="1" applyFont="1" applyFill="1" applyBorder="1" applyAlignment="1">
      <alignment vertical="center" wrapText="1"/>
    </xf>
    <xf numFmtId="3" fontId="18" fillId="5" borderId="4" xfId="8" applyNumberFormat="1" applyFont="1" applyFill="1" applyBorder="1" applyAlignment="1">
      <alignment horizontal="center" vertical="center" wrapText="1"/>
    </xf>
    <xf numFmtId="4" fontId="18" fillId="5" borderId="4" xfId="8" applyNumberFormat="1" applyFont="1" applyFill="1" applyBorder="1" applyAlignment="1">
      <alignment horizontal="center" vertical="center" wrapText="1"/>
    </xf>
    <xf numFmtId="3" fontId="18" fillId="5" borderId="4" xfId="0" applyNumberFormat="1" applyFont="1" applyFill="1" applyBorder="1" applyAlignment="1">
      <alignment horizontal="right" vertical="center" wrapText="1"/>
    </xf>
    <xf numFmtId="3" fontId="18" fillId="5" borderId="4" xfId="5" applyNumberFormat="1" applyFont="1" applyFill="1" applyBorder="1" applyAlignment="1">
      <alignment horizontal="right" vertical="center" wrapText="1"/>
    </xf>
    <xf numFmtId="0" fontId="20" fillId="0" borderId="7" xfId="0" applyFont="1" applyBorder="1" applyAlignment="1">
      <alignment vertical="center"/>
    </xf>
    <xf numFmtId="0" fontId="22" fillId="5" borderId="4" xfId="0" applyFont="1" applyFill="1" applyBorder="1" applyAlignment="1">
      <alignment horizontal="center" vertical="center"/>
    </xf>
    <xf numFmtId="0" fontId="3" fillId="4" borderId="4" xfId="0" applyFont="1" applyFill="1" applyBorder="1" applyAlignment="1">
      <alignment horizontal="center" vertical="center"/>
    </xf>
    <xf numFmtId="0" fontId="3" fillId="6" borderId="4" xfId="0" applyFont="1" applyFill="1" applyBorder="1" applyAlignment="1">
      <alignment horizontal="center" vertical="center"/>
    </xf>
    <xf numFmtId="0" fontId="15" fillId="6" borderId="4" xfId="0" applyFont="1" applyFill="1" applyBorder="1" applyAlignment="1">
      <alignment horizontal="left" vertical="center" wrapText="1"/>
    </xf>
    <xf numFmtId="0" fontId="15" fillId="6" borderId="4" xfId="0" applyFont="1" applyFill="1" applyBorder="1" applyAlignment="1">
      <alignment horizontal="center" vertical="center"/>
    </xf>
    <xf numFmtId="0" fontId="4" fillId="6" borderId="4" xfId="0" applyFont="1" applyFill="1" applyBorder="1" applyAlignment="1">
      <alignment horizontal="center" vertical="center"/>
    </xf>
    <xf numFmtId="3" fontId="15" fillId="6" borderId="4" xfId="2" applyNumberFormat="1" applyFont="1" applyFill="1" applyBorder="1" applyAlignment="1">
      <alignment horizontal="center" vertical="center" wrapText="1"/>
    </xf>
    <xf numFmtId="0" fontId="12" fillId="6" borderId="4" xfId="0" applyFont="1" applyFill="1" applyBorder="1" applyAlignment="1">
      <alignment vertical="center" wrapText="1"/>
    </xf>
    <xf numFmtId="0" fontId="0" fillId="6" borderId="4" xfId="0" applyFill="1" applyBorder="1" applyAlignment="1">
      <alignment horizontal="center" vertical="center"/>
    </xf>
    <xf numFmtId="49" fontId="9" fillId="0" borderId="4" xfId="0" applyNumberFormat="1" applyFont="1" applyBorder="1" applyAlignment="1">
      <alignment horizontal="center" vertical="center" wrapText="1"/>
    </xf>
    <xf numFmtId="3" fontId="9" fillId="0" borderId="4" xfId="0" applyNumberFormat="1" applyFont="1" applyBorder="1" applyAlignment="1">
      <alignment vertical="center" wrapText="1"/>
    </xf>
    <xf numFmtId="3" fontId="0" fillId="0" borderId="0" xfId="0" applyNumberFormat="1" applyAlignment="1">
      <alignment vertical="center"/>
    </xf>
    <xf numFmtId="3" fontId="0" fillId="0" borderId="4" xfId="0" applyNumberFormat="1" applyBorder="1"/>
    <xf numFmtId="0" fontId="12" fillId="0" borderId="4" xfId="0" applyFont="1" applyBorder="1" applyAlignment="1">
      <alignment horizontal="left" vertical="center" wrapText="1"/>
    </xf>
    <xf numFmtId="0" fontId="15"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4" fontId="0" fillId="0" borderId="5" xfId="0" applyNumberFormat="1" applyBorder="1" applyAlignment="1">
      <alignment horizontal="center" vertical="center" wrapText="1"/>
    </xf>
    <xf numFmtId="0" fontId="13" fillId="0" borderId="4" xfId="0" applyFont="1" applyBorder="1" applyAlignment="1">
      <alignment horizontal="center" vertical="center"/>
    </xf>
    <xf numFmtId="0" fontId="0" fillId="0" borderId="4" xfId="0" applyBorder="1" applyAlignment="1">
      <alignment vertical="center" wrapText="1"/>
    </xf>
    <xf numFmtId="0" fontId="25" fillId="0" borderId="4" xfId="0" applyFont="1" applyBorder="1" applyAlignment="1">
      <alignment horizontal="justify" vertical="center" wrapText="1"/>
    </xf>
    <xf numFmtId="0" fontId="25" fillId="7" borderId="4" xfId="0" applyFont="1" applyFill="1" applyBorder="1" applyAlignment="1">
      <alignment horizontal="justify" vertical="center" wrapText="1"/>
    </xf>
    <xf numFmtId="0" fontId="0" fillId="7" borderId="4" xfId="0" applyFill="1" applyBorder="1" applyAlignment="1">
      <alignment horizontal="center" vertical="center" wrapText="1"/>
    </xf>
    <xf numFmtId="49" fontId="0" fillId="7" borderId="4" xfId="0" applyNumberFormat="1" applyFill="1" applyBorder="1" applyAlignment="1">
      <alignment horizontal="center" vertical="center"/>
    </xf>
    <xf numFmtId="4" fontId="0" fillId="7" borderId="4" xfId="0" applyNumberFormat="1" applyFill="1" applyBorder="1" applyAlignment="1">
      <alignment horizontal="center" vertical="center" wrapText="1"/>
    </xf>
    <xf numFmtId="3" fontId="0" fillId="7" borderId="8" xfId="0" applyNumberFormat="1" applyFill="1" applyBorder="1" applyAlignment="1">
      <alignment horizontal="right" vertical="center"/>
    </xf>
    <xf numFmtId="3" fontId="15" fillId="7" borderId="4" xfId="5" applyNumberFormat="1" applyFont="1" applyFill="1" applyBorder="1" applyAlignment="1">
      <alignment horizontal="right" vertical="center" wrapText="1"/>
    </xf>
    <xf numFmtId="0" fontId="0" fillId="7" borderId="0" xfId="0" applyFill="1" applyAlignment="1">
      <alignment vertical="center"/>
    </xf>
    <xf numFmtId="0" fontId="4" fillId="7" borderId="4" xfId="0" applyFont="1" applyFill="1" applyBorder="1" applyAlignment="1">
      <alignment horizontal="center" vertical="center" wrapText="1"/>
    </xf>
    <xf numFmtId="0" fontId="4" fillId="7" borderId="0" xfId="0" applyFont="1" applyFill="1" applyAlignment="1">
      <alignment vertical="center"/>
    </xf>
    <xf numFmtId="4" fontId="0" fillId="0" borderId="4" xfId="0" applyNumberFormat="1" applyBorder="1" applyAlignment="1">
      <alignment vertical="center" wrapText="1"/>
    </xf>
    <xf numFmtId="3" fontId="9" fillId="0" borderId="4" xfId="2" applyNumberFormat="1" applyFont="1" applyBorder="1" applyAlignment="1">
      <alignment vertical="center" wrapText="1"/>
    </xf>
    <xf numFmtId="49" fontId="0" fillId="0" borderId="4" xfId="0" applyNumberFormat="1" applyBorder="1" applyAlignment="1">
      <alignment horizontal="center" vertical="center" wrapText="1"/>
    </xf>
    <xf numFmtId="3" fontId="4" fillId="0" borderId="0" xfId="0" applyNumberFormat="1" applyFont="1" applyAlignment="1">
      <alignment vertical="center"/>
    </xf>
    <xf numFmtId="0" fontId="0" fillId="6" borderId="4" xfId="0" applyFill="1" applyBorder="1" applyAlignment="1">
      <alignment vertical="center" wrapText="1"/>
    </xf>
    <xf numFmtId="49" fontId="0" fillId="7" borderId="4" xfId="0" applyNumberFormat="1" applyFill="1" applyBorder="1" applyAlignment="1">
      <alignment horizontal="center" vertical="center" wrapText="1"/>
    </xf>
    <xf numFmtId="4" fontId="0" fillId="7" borderId="4" xfId="0" applyNumberFormat="1" applyFill="1" applyBorder="1" applyAlignment="1">
      <alignment vertical="center" wrapText="1"/>
    </xf>
    <xf numFmtId="3" fontId="9" fillId="7" borderId="4" xfId="0" applyNumberFormat="1" applyFont="1" applyFill="1" applyBorder="1" applyAlignment="1">
      <alignment vertical="center" wrapText="1"/>
    </xf>
    <xf numFmtId="3" fontId="1" fillId="7" borderId="4" xfId="2" applyNumberFormat="1" applyFont="1" applyFill="1" applyBorder="1" applyAlignment="1">
      <alignment wrapText="1"/>
    </xf>
    <xf numFmtId="3" fontId="9" fillId="7" borderId="4" xfId="5" applyNumberFormat="1" applyFill="1" applyBorder="1" applyAlignment="1">
      <alignment vertical="center" wrapText="1"/>
    </xf>
    <xf numFmtId="3" fontId="0" fillId="7" borderId="0" xfId="0" applyNumberFormat="1" applyFill="1" applyAlignment="1">
      <alignment vertical="center"/>
    </xf>
    <xf numFmtId="3" fontId="0" fillId="7" borderId="4" xfId="0" applyNumberFormat="1" applyFill="1" applyBorder="1" applyAlignment="1">
      <alignment wrapText="1"/>
    </xf>
    <xf numFmtId="3" fontId="4" fillId="7" borderId="0" xfId="0" applyNumberFormat="1" applyFont="1" applyFill="1" applyAlignment="1">
      <alignment vertical="center"/>
    </xf>
    <xf numFmtId="0" fontId="12" fillId="6" borderId="4" xfId="0" applyFont="1" applyFill="1" applyBorder="1" applyAlignment="1">
      <alignment horizontal="left" vertical="center" wrapText="1"/>
    </xf>
    <xf numFmtId="3" fontId="1" fillId="0" borderId="4" xfId="2" applyNumberFormat="1" applyFont="1" applyFill="1" applyBorder="1" applyAlignment="1">
      <alignment vertical="center" wrapText="1"/>
    </xf>
    <xf numFmtId="3" fontId="9" fillId="0" borderId="4" xfId="5" applyNumberFormat="1" applyFill="1" applyBorder="1" applyAlignment="1">
      <alignment vertical="center" wrapText="1"/>
    </xf>
    <xf numFmtId="3" fontId="0" fillId="0" borderId="4" xfId="0" applyNumberFormat="1" applyBorder="1" applyAlignment="1">
      <alignment vertical="center" wrapText="1"/>
    </xf>
    <xf numFmtId="49" fontId="9" fillId="7" borderId="4" xfId="0" applyNumberFormat="1" applyFont="1" applyFill="1" applyBorder="1" applyAlignment="1">
      <alignment horizontal="center" vertical="center" wrapText="1"/>
    </xf>
    <xf numFmtId="3" fontId="1" fillId="7" borderId="8" xfId="2" applyNumberFormat="1" applyFont="1" applyFill="1" applyBorder="1"/>
    <xf numFmtId="0" fontId="0" fillId="6" borderId="4" xfId="0" applyFill="1" applyBorder="1" applyAlignment="1">
      <alignment horizontal="center" vertical="center" wrapText="1"/>
    </xf>
    <xf numFmtId="3" fontId="1" fillId="0" borderId="8" xfId="2" applyNumberFormat="1" applyFont="1" applyBorder="1"/>
    <xf numFmtId="0" fontId="4" fillId="6" borderId="4" xfId="0" applyFont="1" applyFill="1" applyBorder="1" applyAlignment="1">
      <alignment horizontal="center" vertical="center" wrapText="1"/>
    </xf>
    <xf numFmtId="0" fontId="0" fillId="0" borderId="8" xfId="0" applyBorder="1" applyAlignment="1">
      <alignment vertical="center" wrapText="1"/>
    </xf>
    <xf numFmtId="0" fontId="25" fillId="7" borderId="8" xfId="0" applyFont="1" applyFill="1" applyBorder="1" applyAlignment="1">
      <alignment horizontal="justify" vertical="center" wrapText="1"/>
    </xf>
    <xf numFmtId="0" fontId="0" fillId="7" borderId="8" xfId="0" applyFill="1" applyBorder="1" applyAlignment="1">
      <alignment horizontal="center" vertical="center" wrapText="1"/>
    </xf>
    <xf numFmtId="0" fontId="4" fillId="7" borderId="8" xfId="0" applyFont="1" applyFill="1" applyBorder="1" applyAlignment="1">
      <alignment horizontal="center" vertical="center" wrapText="1"/>
    </xf>
    <xf numFmtId="0" fontId="0" fillId="6" borderId="8" xfId="0" applyFill="1" applyBorder="1" applyAlignment="1">
      <alignment horizontal="center" vertical="center" wrapText="1"/>
    </xf>
    <xf numFmtId="0" fontId="4" fillId="6" borderId="8" xfId="0" applyFont="1" applyFill="1" applyBorder="1" applyAlignment="1">
      <alignment horizontal="center" vertical="center" wrapText="1"/>
    </xf>
    <xf numFmtId="4" fontId="0" fillId="7" borderId="4" xfId="0" applyNumberFormat="1" applyFill="1" applyBorder="1" applyAlignment="1">
      <alignment wrapText="1"/>
    </xf>
    <xf numFmtId="49" fontId="9" fillId="7" borderId="8" xfId="0" applyNumberFormat="1" applyFont="1" applyFill="1" applyBorder="1" applyAlignment="1">
      <alignment horizontal="center" vertical="center" wrapText="1"/>
    </xf>
    <xf numFmtId="4" fontId="0" fillId="7" borderId="8" xfId="0" applyNumberFormat="1" applyFill="1" applyBorder="1" applyAlignment="1">
      <alignment vertical="center" wrapText="1"/>
    </xf>
    <xf numFmtId="3" fontId="9" fillId="7" borderId="8" xfId="0" applyNumberFormat="1" applyFont="1" applyFill="1" applyBorder="1" applyAlignment="1">
      <alignment vertical="center" wrapText="1"/>
    </xf>
    <xf numFmtId="4" fontId="0" fillId="7" borderId="8" xfId="0" applyNumberFormat="1" applyFill="1" applyBorder="1" applyAlignment="1">
      <alignment wrapText="1"/>
    </xf>
    <xf numFmtId="3" fontId="1" fillId="7" borderId="8" xfId="2" applyNumberFormat="1" applyFont="1" applyFill="1" applyBorder="1" applyAlignment="1">
      <alignment wrapText="1"/>
    </xf>
    <xf numFmtId="3" fontId="9" fillId="7" borderId="8" xfId="5" applyNumberFormat="1" applyFill="1" applyBorder="1" applyAlignment="1">
      <alignment vertical="center" wrapText="1"/>
    </xf>
    <xf numFmtId="3" fontId="0" fillId="0" borderId="7" xfId="0" applyNumberFormat="1" applyBorder="1" applyAlignment="1">
      <alignment vertical="center"/>
    </xf>
    <xf numFmtId="3" fontId="4" fillId="0" borderId="7" xfId="0" applyNumberFormat="1" applyFont="1" applyBorder="1" applyAlignment="1">
      <alignment vertical="center"/>
    </xf>
    <xf numFmtId="4" fontId="0" fillId="0" borderId="4" xfId="0" applyNumberFormat="1" applyBorder="1" applyAlignment="1">
      <alignment wrapText="1"/>
    </xf>
    <xf numFmtId="3" fontId="0" fillId="7" borderId="7" xfId="0" applyNumberFormat="1" applyFill="1" applyBorder="1" applyAlignment="1">
      <alignment vertical="center"/>
    </xf>
    <xf numFmtId="0" fontId="0" fillId="7" borderId="7" xfId="0" applyFill="1" applyBorder="1" applyAlignment="1">
      <alignment vertical="center"/>
    </xf>
    <xf numFmtId="3" fontId="4" fillId="7" borderId="7" xfId="0" applyNumberFormat="1" applyFont="1" applyFill="1" applyBorder="1" applyAlignment="1">
      <alignment vertical="center"/>
    </xf>
    <xf numFmtId="0" fontId="4" fillId="7" borderId="7" xfId="0" applyFont="1" applyFill="1" applyBorder="1" applyAlignment="1">
      <alignment vertical="center"/>
    </xf>
    <xf numFmtId="49" fontId="0" fillId="7" borderId="5" xfId="0" applyNumberFormat="1" applyFill="1" applyBorder="1" applyAlignment="1">
      <alignment horizontal="center" vertical="center" wrapText="1"/>
    </xf>
    <xf numFmtId="4" fontId="0" fillId="7" borderId="5" xfId="0" applyNumberFormat="1" applyFill="1" applyBorder="1" applyAlignment="1">
      <alignment vertical="center" wrapText="1"/>
    </xf>
    <xf numFmtId="3" fontId="9" fillId="7" borderId="5" xfId="0" applyNumberFormat="1" applyFont="1" applyFill="1" applyBorder="1" applyAlignment="1">
      <alignment vertical="center" wrapText="1"/>
    </xf>
    <xf numFmtId="0" fontId="0" fillId="7" borderId="5" xfId="0" applyFill="1" applyBorder="1" applyAlignment="1">
      <alignment horizontal="center" vertical="center" wrapText="1"/>
    </xf>
    <xf numFmtId="3" fontId="1" fillId="7" borderId="7" xfId="2" applyNumberFormat="1" applyFont="1" applyFill="1" applyBorder="1"/>
    <xf numFmtId="3" fontId="9" fillId="7" borderId="5" xfId="2" applyNumberFormat="1" applyFont="1" applyFill="1" applyBorder="1" applyAlignment="1">
      <alignment vertical="center" wrapText="1"/>
    </xf>
    <xf numFmtId="4" fontId="0" fillId="7" borderId="7" xfId="0" applyNumberFormat="1" applyFill="1" applyBorder="1"/>
    <xf numFmtId="3" fontId="0" fillId="7" borderId="7" xfId="0" applyNumberFormat="1" applyFill="1" applyBorder="1"/>
    <xf numFmtId="3" fontId="9" fillId="7" borderId="5" xfId="5" applyNumberFormat="1" applyFill="1" applyBorder="1" applyAlignment="1">
      <alignment vertical="center" wrapText="1"/>
    </xf>
    <xf numFmtId="0" fontId="4" fillId="7" borderId="5" xfId="0" applyFont="1" applyFill="1" applyBorder="1" applyAlignment="1">
      <alignment horizontal="center" vertical="center" wrapText="1"/>
    </xf>
    <xf numFmtId="4" fontId="0" fillId="0" borderId="8" xfId="0" applyNumberFormat="1" applyBorder="1"/>
    <xf numFmtId="3" fontId="0" fillId="0" borderId="8" xfId="0" applyNumberFormat="1" applyBorder="1"/>
    <xf numFmtId="3" fontId="9" fillId="0" borderId="4" xfId="2" applyNumberFormat="1" applyFont="1" applyFill="1" applyBorder="1" applyAlignment="1">
      <alignment vertical="center" wrapText="1"/>
    </xf>
    <xf numFmtId="4" fontId="9" fillId="0" borderId="4" xfId="0" applyNumberFormat="1" applyFont="1" applyBorder="1" applyAlignment="1">
      <alignment horizontal="center" vertical="center"/>
    </xf>
    <xf numFmtId="4" fontId="0" fillId="7" borderId="8" xfId="0" applyNumberFormat="1" applyFill="1" applyBorder="1"/>
    <xf numFmtId="3" fontId="0" fillId="7" borderId="8" xfId="0" applyNumberFormat="1" applyFill="1" applyBorder="1"/>
    <xf numFmtId="0" fontId="26" fillId="7" borderId="4" xfId="0" applyFont="1" applyFill="1" applyBorder="1" applyAlignment="1">
      <alignment vertical="center" wrapText="1"/>
    </xf>
    <xf numFmtId="0" fontId="0" fillId="7" borderId="4" xfId="0" applyFill="1" applyBorder="1" applyAlignment="1">
      <alignment horizontal="center" vertical="center"/>
    </xf>
    <xf numFmtId="3" fontId="9" fillId="7" borderId="4" xfId="2" applyNumberFormat="1" applyFont="1" applyFill="1" applyBorder="1" applyAlignment="1">
      <alignment vertical="center" wrapText="1"/>
    </xf>
    <xf numFmtId="0" fontId="4" fillId="7" borderId="4" xfId="0" applyFont="1" applyFill="1" applyBorder="1" applyAlignment="1">
      <alignment horizontal="center" vertical="center"/>
    </xf>
    <xf numFmtId="0" fontId="3" fillId="8" borderId="4" xfId="0" applyFont="1" applyFill="1" applyBorder="1" applyAlignment="1">
      <alignment horizontal="center" vertical="center"/>
    </xf>
    <xf numFmtId="0" fontId="12" fillId="8" borderId="4" xfId="0" applyFont="1" applyFill="1" applyBorder="1" applyAlignment="1">
      <alignment horizontal="right" vertical="center" wrapText="1"/>
    </xf>
    <xf numFmtId="0" fontId="12" fillId="8" borderId="4" xfId="0" applyFont="1" applyFill="1" applyBorder="1" applyAlignment="1">
      <alignment horizontal="center" vertical="center"/>
    </xf>
    <xf numFmtId="49" fontId="0" fillId="8" borderId="4" xfId="0" applyNumberFormat="1" applyFill="1" applyBorder="1" applyAlignment="1">
      <alignment horizontal="center" vertical="center"/>
    </xf>
    <xf numFmtId="4" fontId="0" fillId="8" borderId="4" xfId="0" applyNumberFormat="1" applyFill="1" applyBorder="1" applyAlignment="1">
      <alignment horizontal="center" vertical="center" wrapText="1"/>
    </xf>
    <xf numFmtId="3" fontId="15" fillId="8" borderId="4" xfId="5" applyNumberFormat="1" applyFont="1" applyFill="1" applyBorder="1" applyAlignment="1">
      <alignment horizontal="right" vertical="center" wrapText="1"/>
    </xf>
    <xf numFmtId="3" fontId="12" fillId="8" borderId="4" xfId="5" applyNumberFormat="1" applyFont="1" applyFill="1" applyBorder="1" applyAlignment="1">
      <alignment horizontal="right" vertical="center" wrapText="1"/>
    </xf>
    <xf numFmtId="0" fontId="13" fillId="8" borderId="4" xfId="0" applyFont="1" applyFill="1" applyBorder="1" applyAlignment="1">
      <alignment horizontal="center" vertical="center"/>
    </xf>
    <xf numFmtId="0" fontId="12" fillId="6" borderId="4" xfId="0" applyFont="1" applyFill="1" applyBorder="1" applyAlignment="1">
      <alignment horizontal="right" vertical="center" wrapText="1"/>
    </xf>
    <xf numFmtId="0" fontId="12" fillId="6" borderId="4" xfId="0" applyFont="1" applyFill="1" applyBorder="1" applyAlignment="1">
      <alignment horizontal="center" vertical="center"/>
    </xf>
    <xf numFmtId="49" fontId="0" fillId="6" borderId="4" xfId="0" applyNumberFormat="1" applyFill="1" applyBorder="1" applyAlignment="1">
      <alignment horizontal="center" vertical="center"/>
    </xf>
    <xf numFmtId="4" fontId="0" fillId="6" borderId="4" xfId="0" applyNumberFormat="1" applyFill="1" applyBorder="1" applyAlignment="1">
      <alignment horizontal="center" vertical="center" wrapText="1"/>
    </xf>
    <xf numFmtId="3" fontId="15" fillId="6" borderId="4" xfId="5" applyNumberFormat="1" applyFont="1" applyFill="1" applyBorder="1" applyAlignment="1">
      <alignment horizontal="right" vertical="center" wrapText="1"/>
    </xf>
    <xf numFmtId="0" fontId="13" fillId="6" borderId="4" xfId="0" applyFont="1" applyFill="1" applyBorder="1" applyAlignment="1">
      <alignment horizontal="center" vertical="center"/>
    </xf>
    <xf numFmtId="4" fontId="0" fillId="7" borderId="8" xfId="0" applyNumberFormat="1" applyFill="1" applyBorder="1" applyAlignment="1">
      <alignment horizontal="center" vertical="center"/>
    </xf>
    <xf numFmtId="49" fontId="15" fillId="7" borderId="4" xfId="0" applyNumberFormat="1" applyFont="1" applyFill="1" applyBorder="1" applyAlignment="1">
      <alignment horizontal="center" vertical="center"/>
    </xf>
    <xf numFmtId="3" fontId="0" fillId="7" borderId="4" xfId="0" applyNumberFormat="1" applyFill="1" applyBorder="1" applyAlignment="1">
      <alignment horizontal="right" vertical="center" wrapText="1"/>
    </xf>
    <xf numFmtId="3" fontId="1" fillId="6" borderId="4" xfId="2" applyNumberFormat="1" applyFont="1" applyFill="1" applyBorder="1" applyAlignment="1">
      <alignment vertical="center" wrapText="1"/>
    </xf>
    <xf numFmtId="4" fontId="0" fillId="6" borderId="4" xfId="0" applyNumberFormat="1" applyFill="1" applyBorder="1" applyAlignment="1">
      <alignment vertical="center" wrapText="1"/>
    </xf>
    <xf numFmtId="3" fontId="0" fillId="6" borderId="4" xfId="0" applyNumberFormat="1" applyFill="1" applyBorder="1" applyAlignment="1">
      <alignment vertical="center" wrapText="1"/>
    </xf>
    <xf numFmtId="3" fontId="9" fillId="4" borderId="4" xfId="5" applyNumberFormat="1" applyFill="1" applyBorder="1" applyAlignment="1">
      <alignment vertical="center" wrapText="1"/>
    </xf>
    <xf numFmtId="3" fontId="1" fillId="7" borderId="4" xfId="2" applyNumberFormat="1" applyFont="1" applyFill="1" applyBorder="1" applyAlignment="1">
      <alignment vertical="center" wrapText="1"/>
    </xf>
    <xf numFmtId="3" fontId="0" fillId="7" borderId="4" xfId="0" applyNumberFormat="1" applyFill="1" applyBorder="1" applyAlignment="1">
      <alignment vertical="center" wrapText="1"/>
    </xf>
    <xf numFmtId="4" fontId="0" fillId="7" borderId="8" xfId="0" applyNumberFormat="1" applyFill="1" applyBorder="1" applyAlignment="1">
      <alignment vertical="center"/>
    </xf>
    <xf numFmtId="3" fontId="1" fillId="7" borderId="8" xfId="2" applyNumberFormat="1" applyFont="1" applyFill="1" applyBorder="1" applyAlignment="1">
      <alignment vertical="center"/>
    </xf>
    <xf numFmtId="3" fontId="1" fillId="7" borderId="8" xfId="2" applyNumberFormat="1" applyFont="1" applyFill="1" applyBorder="1" applyAlignment="1">
      <alignment vertical="center" wrapText="1"/>
    </xf>
    <xf numFmtId="4" fontId="0" fillId="6" borderId="8" xfId="0" applyNumberFormat="1" applyFill="1" applyBorder="1" applyAlignment="1">
      <alignment vertical="center" wrapText="1"/>
    </xf>
    <xf numFmtId="3" fontId="1" fillId="6" borderId="8" xfId="2" applyNumberFormat="1" applyFont="1" applyFill="1" applyBorder="1" applyAlignment="1">
      <alignment vertical="center" wrapText="1"/>
    </xf>
    <xf numFmtId="3" fontId="1" fillId="0" borderId="8" xfId="2" applyNumberFormat="1" applyFont="1" applyBorder="1" applyAlignment="1">
      <alignment vertical="center" wrapText="1"/>
    </xf>
    <xf numFmtId="0" fontId="27" fillId="7" borderId="4" xfId="0" applyFont="1" applyFill="1" applyBorder="1" applyAlignment="1">
      <alignment horizontal="justify" vertical="center" wrapText="1"/>
    </xf>
    <xf numFmtId="3" fontId="0" fillId="7" borderId="8" xfId="0" applyNumberFormat="1" applyFill="1" applyBorder="1" applyAlignment="1">
      <alignment vertical="center" wrapText="1"/>
    </xf>
    <xf numFmtId="0" fontId="15" fillId="6" borderId="4" xfId="0" applyFont="1" applyFill="1" applyBorder="1" applyAlignment="1">
      <alignment horizontal="center" vertical="center" wrapText="1"/>
    </xf>
    <xf numFmtId="4" fontId="0" fillId="0" borderId="8" xfId="0" applyNumberFormat="1" applyBorder="1" applyAlignment="1">
      <alignment vertical="center" wrapText="1"/>
    </xf>
    <xf numFmtId="3" fontId="0" fillId="6" borderId="8" xfId="0" applyNumberFormat="1" applyFill="1" applyBorder="1" applyAlignment="1">
      <alignment vertical="center" wrapText="1"/>
    </xf>
    <xf numFmtId="3" fontId="9" fillId="9" borderId="4" xfId="5" applyNumberFormat="1" applyFill="1" applyBorder="1" applyAlignment="1">
      <alignment vertical="center" wrapText="1"/>
    </xf>
    <xf numFmtId="3" fontId="0" fillId="0" borderId="8" xfId="0" applyNumberFormat="1" applyBorder="1" applyAlignment="1">
      <alignment vertical="center" wrapText="1"/>
    </xf>
    <xf numFmtId="3" fontId="0" fillId="10" borderId="8" xfId="0" applyNumberFormat="1" applyFill="1" applyBorder="1" applyAlignment="1">
      <alignment vertical="center" wrapText="1"/>
    </xf>
    <xf numFmtId="4" fontId="0" fillId="0" borderId="8" xfId="0" applyNumberFormat="1" applyBorder="1" applyAlignment="1">
      <alignment vertical="center"/>
    </xf>
    <xf numFmtId="3" fontId="1" fillId="0" borderId="8" xfId="2" applyNumberFormat="1" applyFont="1" applyBorder="1" applyAlignment="1">
      <alignment vertical="center"/>
    </xf>
    <xf numFmtId="3" fontId="0" fillId="0" borderId="8" xfId="0" applyNumberFormat="1" applyBorder="1" applyAlignment="1">
      <alignment vertical="center"/>
    </xf>
    <xf numFmtId="4" fontId="0" fillId="6" borderId="8" xfId="0" applyNumberFormat="1" applyFill="1" applyBorder="1" applyAlignment="1">
      <alignment vertical="center"/>
    </xf>
    <xf numFmtId="3" fontId="1" fillId="6" borderId="8" xfId="2" applyNumberFormat="1" applyFont="1" applyFill="1" applyBorder="1" applyAlignment="1">
      <alignment vertical="center"/>
    </xf>
    <xf numFmtId="0" fontId="12" fillId="7" borderId="4" xfId="0" applyFont="1" applyFill="1" applyBorder="1" applyAlignment="1">
      <alignment horizontal="left" vertical="center" wrapText="1"/>
    </xf>
    <xf numFmtId="0" fontId="12" fillId="7" borderId="4" xfId="0" applyFont="1" applyFill="1" applyBorder="1" applyAlignment="1">
      <alignment vertical="center" wrapText="1"/>
    </xf>
    <xf numFmtId="4" fontId="0" fillId="7" borderId="4" xfId="0" quotePrefix="1" applyNumberFormat="1" applyFill="1" applyBorder="1" applyAlignment="1">
      <alignment vertical="center" wrapText="1"/>
    </xf>
    <xf numFmtId="3" fontId="1" fillId="7" borderId="4" xfId="2" quotePrefix="1" applyNumberFormat="1" applyFont="1" applyFill="1" applyBorder="1" applyAlignment="1">
      <alignment vertical="center" wrapText="1"/>
    </xf>
    <xf numFmtId="3" fontId="0" fillId="7" borderId="4" xfId="0" quotePrefix="1" applyNumberFormat="1" applyFill="1" applyBorder="1" applyAlignment="1">
      <alignment vertical="center" wrapText="1"/>
    </xf>
    <xf numFmtId="3" fontId="1" fillId="0" borderId="4" xfId="2" quotePrefix="1" applyNumberFormat="1" applyFont="1" applyBorder="1" applyAlignment="1">
      <alignment vertical="center" wrapText="1"/>
    </xf>
    <xf numFmtId="3" fontId="0" fillId="0" borderId="4" xfId="0" quotePrefix="1" applyNumberFormat="1" applyBorder="1" applyAlignment="1">
      <alignment vertical="center" wrapText="1"/>
    </xf>
    <xf numFmtId="49" fontId="0" fillId="7" borderId="8" xfId="0" applyNumberFormat="1" applyFill="1" applyBorder="1" applyAlignment="1">
      <alignment horizontal="center" vertical="center" wrapText="1"/>
    </xf>
    <xf numFmtId="3" fontId="9" fillId="7" borderId="8" xfId="2" applyNumberFormat="1" applyFont="1" applyFill="1" applyBorder="1" applyAlignment="1">
      <alignment vertical="center" wrapText="1"/>
    </xf>
    <xf numFmtId="3" fontId="1" fillId="7" borderId="4" xfId="2" applyNumberFormat="1" applyFont="1" applyFill="1" applyBorder="1"/>
    <xf numFmtId="0" fontId="3" fillId="6" borderId="4" xfId="0" applyFont="1" applyFill="1" applyBorder="1" applyAlignment="1">
      <alignment horizontal="left" vertical="center" wrapText="1"/>
    </xf>
    <xf numFmtId="3" fontId="1" fillId="0" borderId="4" xfId="2" applyNumberFormat="1" applyFont="1" applyBorder="1" applyAlignment="1">
      <alignment wrapText="1"/>
    </xf>
    <xf numFmtId="0" fontId="3" fillId="0" borderId="4" xfId="0" applyFont="1" applyBorder="1" applyAlignment="1">
      <alignment vertical="center" wrapText="1"/>
    </xf>
    <xf numFmtId="0" fontId="3" fillId="6" borderId="4" xfId="0" applyFont="1" applyFill="1" applyBorder="1" applyAlignment="1">
      <alignment vertical="center" wrapText="1"/>
    </xf>
    <xf numFmtId="3" fontId="1" fillId="6" borderId="4" xfId="2" applyNumberFormat="1" applyFont="1" applyFill="1" applyBorder="1"/>
    <xf numFmtId="4" fontId="0" fillId="6" borderId="4" xfId="0" applyNumberFormat="1" applyFill="1" applyBorder="1"/>
    <xf numFmtId="3" fontId="0" fillId="6" borderId="4" xfId="0" applyNumberFormat="1" applyFill="1" applyBorder="1"/>
    <xf numFmtId="4" fontId="0" fillId="0" borderId="4" xfId="0" applyNumberFormat="1" applyBorder="1"/>
    <xf numFmtId="0" fontId="12" fillId="0" borderId="4" xfId="0" applyFont="1" applyBorder="1" applyAlignment="1">
      <alignment horizontal="right" vertical="center" wrapText="1"/>
    </xf>
    <xf numFmtId="0" fontId="12" fillId="7" borderId="4" xfId="0" applyFont="1" applyFill="1" applyBorder="1" applyAlignment="1">
      <alignment horizontal="center" vertical="center"/>
    </xf>
    <xf numFmtId="0" fontId="13" fillId="7" borderId="4" xfId="0" applyFont="1" applyFill="1" applyBorder="1" applyAlignment="1">
      <alignment horizontal="center" vertical="center"/>
    </xf>
    <xf numFmtId="0" fontId="31" fillId="7" borderId="4" xfId="0" applyFont="1" applyFill="1" applyBorder="1" applyAlignment="1">
      <alignment horizontal="justify" vertical="center" wrapText="1"/>
    </xf>
    <xf numFmtId="0" fontId="15" fillId="7" borderId="4" xfId="0" applyFont="1" applyFill="1" applyBorder="1" applyAlignment="1">
      <alignment horizontal="center" vertical="center"/>
    </xf>
    <xf numFmtId="3" fontId="9" fillId="0" borderId="4" xfId="5" applyNumberFormat="1" applyBorder="1" applyAlignment="1">
      <alignment horizontal="center" vertical="center" wrapText="1"/>
    </xf>
    <xf numFmtId="4" fontId="9" fillId="0" borderId="4" xfId="5" applyNumberFormat="1" applyBorder="1" applyAlignment="1">
      <alignment vertical="center" wrapText="1"/>
    </xf>
    <xf numFmtId="3" fontId="9" fillId="0" borderId="7" xfId="5" applyNumberFormat="1" applyFill="1" applyBorder="1" applyAlignment="1">
      <alignment vertical="center" wrapText="1"/>
    </xf>
    <xf numFmtId="3" fontId="10" fillId="0" borderId="7" xfId="5" applyNumberFormat="1" applyFont="1" applyFill="1" applyBorder="1" applyAlignment="1">
      <alignment vertical="center" wrapText="1"/>
    </xf>
    <xf numFmtId="3" fontId="1" fillId="0" borderId="4" xfId="2" applyNumberFormat="1" applyFont="1" applyBorder="1" applyAlignment="1">
      <alignment vertical="center"/>
    </xf>
    <xf numFmtId="3" fontId="0" fillId="0" borderId="4" xfId="0" applyNumberFormat="1" applyBorder="1" applyAlignment="1">
      <alignment vertical="center"/>
    </xf>
    <xf numFmtId="0" fontId="15" fillId="7" borderId="4" xfId="0" applyFont="1" applyFill="1" applyBorder="1" applyAlignment="1">
      <alignment vertical="center" wrapText="1"/>
    </xf>
    <xf numFmtId="3" fontId="0" fillId="7" borderId="8" xfId="0" applyNumberFormat="1" applyFill="1" applyBorder="1" applyAlignment="1">
      <alignment vertical="center"/>
    </xf>
    <xf numFmtId="3" fontId="15" fillId="8" borderId="4" xfId="1" applyNumberFormat="1" applyFont="1" applyFill="1" applyBorder="1" applyAlignment="1">
      <alignment vertical="center" wrapText="1"/>
    </xf>
    <xf numFmtId="3" fontId="12" fillId="8" borderId="4" xfId="5" applyNumberFormat="1" applyFont="1" applyFill="1" applyBorder="1" applyAlignment="1">
      <alignment vertical="center" wrapText="1"/>
    </xf>
    <xf numFmtId="0" fontId="18" fillId="5" borderId="4" xfId="0" applyFont="1" applyFill="1" applyBorder="1" applyAlignment="1">
      <alignment horizontal="left" vertical="center" wrapText="1"/>
    </xf>
    <xf numFmtId="0" fontId="15" fillId="5" borderId="4" xfId="0" applyFont="1" applyFill="1" applyBorder="1" applyAlignment="1">
      <alignment horizontal="left" vertical="center" wrapText="1"/>
    </xf>
    <xf numFmtId="49" fontId="18" fillId="5" borderId="4" xfId="0" applyNumberFormat="1" applyFont="1" applyFill="1" applyBorder="1" applyAlignment="1">
      <alignment horizontal="center" vertical="center"/>
    </xf>
    <xf numFmtId="4" fontId="18" fillId="5" borderId="4" xfId="0" applyNumberFormat="1" applyFont="1" applyFill="1" applyBorder="1" applyAlignment="1">
      <alignment horizontal="center" vertical="center" wrapText="1"/>
    </xf>
    <xf numFmtId="0" fontId="4" fillId="9" borderId="4" xfId="0" applyFont="1" applyFill="1" applyBorder="1" applyAlignment="1">
      <alignment horizontal="center" vertical="center"/>
    </xf>
    <xf numFmtId="0" fontId="15" fillId="5" borderId="4" xfId="0" applyFont="1" applyFill="1" applyBorder="1" applyAlignment="1">
      <alignment horizontal="right" vertical="center" wrapText="1"/>
    </xf>
    <xf numFmtId="3" fontId="15" fillId="5" borderId="4" xfId="5" applyNumberFormat="1" applyFont="1" applyFill="1" applyBorder="1" applyAlignment="1">
      <alignment vertical="center" wrapText="1"/>
    </xf>
    <xf numFmtId="0" fontId="15" fillId="0" borderId="4" xfId="0" applyFont="1" applyBorder="1" applyAlignment="1">
      <alignment horizontal="right" vertical="center" wrapText="1"/>
    </xf>
    <xf numFmtId="0" fontId="25" fillId="7" borderId="4" xfId="0" applyFont="1" applyFill="1" applyBorder="1" applyAlignment="1">
      <alignment vertical="center" wrapText="1"/>
    </xf>
    <xf numFmtId="4" fontId="0" fillId="6" borderId="8" xfId="0" applyNumberFormat="1" applyFill="1" applyBorder="1" applyAlignment="1">
      <alignment wrapText="1"/>
    </xf>
    <xf numFmtId="3" fontId="0" fillId="6" borderId="8" xfId="0" applyNumberFormat="1" applyFill="1" applyBorder="1"/>
    <xf numFmtId="0" fontId="15" fillId="7" borderId="4" xfId="0" applyFont="1" applyFill="1" applyBorder="1" applyAlignment="1">
      <alignment horizontal="left" vertical="center" wrapText="1"/>
    </xf>
    <xf numFmtId="0" fontId="0" fillId="7" borderId="4" xfId="0" applyFill="1" applyBorder="1" applyAlignment="1">
      <alignment horizontal="left" vertical="center" wrapText="1"/>
    </xf>
    <xf numFmtId="4" fontId="0" fillId="0" borderId="8" xfId="0" applyNumberFormat="1" applyBorder="1" applyAlignment="1">
      <alignment wrapText="1"/>
    </xf>
    <xf numFmtId="0" fontId="0" fillId="7" borderId="4" xfId="0" applyFill="1" applyBorder="1" applyAlignment="1">
      <alignment vertical="center" wrapText="1"/>
    </xf>
    <xf numFmtId="0" fontId="20" fillId="6" borderId="4" xfId="0" quotePrefix="1" applyFont="1" applyFill="1" applyBorder="1" applyAlignment="1">
      <alignment vertical="center" wrapText="1"/>
    </xf>
    <xf numFmtId="3" fontId="0" fillId="6" borderId="4" xfId="0" applyNumberFormat="1" applyFill="1" applyBorder="1" applyAlignment="1">
      <alignment horizontal="right" vertical="center" wrapText="1"/>
    </xf>
    <xf numFmtId="3" fontId="0" fillId="10" borderId="4" xfId="0" quotePrefix="1" applyNumberFormat="1" applyFill="1" applyBorder="1" applyAlignment="1">
      <alignment vertical="center" wrapText="1"/>
    </xf>
    <xf numFmtId="0" fontId="27" fillId="7" borderId="4" xfId="0" quotePrefix="1" applyFont="1" applyFill="1" applyBorder="1" applyAlignment="1">
      <alignment vertical="center" wrapText="1"/>
    </xf>
    <xf numFmtId="0" fontId="0" fillId="7" borderId="4" xfId="0" applyFill="1" applyBorder="1" applyAlignment="1">
      <alignment vertical="center"/>
    </xf>
    <xf numFmtId="0" fontId="15" fillId="7" borderId="4" xfId="0" applyFont="1" applyFill="1" applyBorder="1" applyAlignment="1">
      <alignment horizontal="center" vertical="center" wrapText="1"/>
    </xf>
    <xf numFmtId="0" fontId="3" fillId="9" borderId="4" xfId="0" applyFont="1" applyFill="1" applyBorder="1" applyAlignment="1">
      <alignment horizontal="right" vertical="center"/>
    </xf>
    <xf numFmtId="0" fontId="12" fillId="9" borderId="4" xfId="0" applyFont="1" applyFill="1" applyBorder="1" applyAlignment="1">
      <alignment horizontal="right" vertical="center" wrapText="1"/>
    </xf>
    <xf numFmtId="0" fontId="12" fillId="9" borderId="4" xfId="0" applyFont="1" applyFill="1" applyBorder="1" applyAlignment="1">
      <alignment horizontal="center" vertical="center"/>
    </xf>
    <xf numFmtId="49" fontId="0" fillId="9" borderId="4" xfId="0" applyNumberFormat="1" applyFill="1" applyBorder="1" applyAlignment="1">
      <alignment horizontal="center" vertical="center"/>
    </xf>
    <xf numFmtId="4" fontId="0" fillId="9" borderId="4" xfId="0" applyNumberFormat="1" applyFill="1" applyBorder="1" applyAlignment="1">
      <alignment horizontal="center" vertical="center" wrapText="1"/>
    </xf>
    <xf numFmtId="3" fontId="15" fillId="9" borderId="4" xfId="5" applyNumberFormat="1" applyFont="1" applyFill="1" applyBorder="1" applyAlignment="1">
      <alignment horizontal="right" vertical="center" wrapText="1"/>
    </xf>
    <xf numFmtId="3" fontId="12" fillId="9" borderId="4" xfId="5" applyNumberFormat="1" applyFont="1" applyFill="1" applyBorder="1" applyAlignment="1">
      <alignment horizontal="right" vertical="center" wrapText="1"/>
    </xf>
    <xf numFmtId="0" fontId="13" fillId="9" borderId="4" xfId="0" applyFont="1" applyFill="1" applyBorder="1" applyAlignment="1">
      <alignment horizontal="center" vertical="center"/>
    </xf>
    <xf numFmtId="0" fontId="3" fillId="0" borderId="4" xfId="0" applyFont="1" applyBorder="1" applyAlignment="1">
      <alignment horizontal="right" vertical="center"/>
    </xf>
    <xf numFmtId="0" fontId="12" fillId="2" borderId="4" xfId="0" applyFont="1" applyFill="1" applyBorder="1" applyAlignment="1">
      <alignment horizontal="right" vertical="center" wrapText="1"/>
    </xf>
    <xf numFmtId="3" fontId="12" fillId="2" borderId="4" xfId="5" applyNumberFormat="1" applyFont="1" applyFill="1" applyBorder="1" applyAlignment="1">
      <alignment horizontal="right" vertical="center" wrapText="1"/>
    </xf>
    <xf numFmtId="0" fontId="1" fillId="0" borderId="4" xfId="4" applyBorder="1" applyAlignment="1">
      <alignment horizontal="right" vertical="center" wrapText="1"/>
    </xf>
    <xf numFmtId="3" fontId="15" fillId="0" borderId="4" xfId="1" applyNumberFormat="1" applyFont="1" applyFill="1" applyBorder="1" applyAlignment="1">
      <alignment vertical="center" wrapText="1"/>
    </xf>
    <xf numFmtId="3" fontId="15" fillId="0" borderId="4" xfId="5" applyNumberFormat="1" applyFont="1" applyFill="1" applyBorder="1" applyAlignment="1">
      <alignment vertical="center" wrapText="1"/>
    </xf>
    <xf numFmtId="3" fontId="0" fillId="2" borderId="4" xfId="0" applyNumberFormat="1" applyFill="1" applyBorder="1" applyAlignment="1">
      <alignment horizontal="right" vertical="center" wrapText="1"/>
    </xf>
    <xf numFmtId="0" fontId="12" fillId="2" borderId="8" xfId="0" applyFont="1" applyFill="1" applyBorder="1" applyAlignment="1">
      <alignment horizontal="right" vertical="center" wrapText="1"/>
    </xf>
    <xf numFmtId="0" fontId="15" fillId="2" borderId="8" xfId="0" applyFont="1" applyFill="1" applyBorder="1" applyAlignment="1">
      <alignment horizontal="center" vertical="center"/>
    </xf>
    <xf numFmtId="49" fontId="0" fillId="2" borderId="8" xfId="0" applyNumberFormat="1" applyFill="1" applyBorder="1" applyAlignment="1">
      <alignment horizontal="center" vertical="center"/>
    </xf>
    <xf numFmtId="4" fontId="0" fillId="2" borderId="8" xfId="0" applyNumberFormat="1" applyFill="1" applyBorder="1" applyAlignment="1">
      <alignment horizontal="center" vertical="center" wrapText="1"/>
    </xf>
    <xf numFmtId="3" fontId="15" fillId="2" borderId="8" xfId="1" applyNumberFormat="1" applyFont="1" applyFill="1" applyBorder="1" applyAlignment="1">
      <alignment vertical="center" wrapText="1"/>
    </xf>
    <xf numFmtId="3" fontId="12" fillId="2" borderId="8" xfId="5" applyNumberFormat="1" applyFont="1" applyFill="1" applyBorder="1" applyAlignment="1">
      <alignment vertical="center" wrapText="1"/>
    </xf>
    <xf numFmtId="0" fontId="4" fillId="2" borderId="8" xfId="0" applyFont="1" applyFill="1" applyBorder="1" applyAlignment="1">
      <alignment horizontal="center" vertical="center"/>
    </xf>
    <xf numFmtId="0" fontId="3" fillId="0" borderId="8" xfId="0" applyFont="1" applyBorder="1" applyAlignment="1">
      <alignment horizontal="center" vertical="center" wrapText="1"/>
    </xf>
    <xf numFmtId="0" fontId="12" fillId="0" borderId="9" xfId="0" applyFont="1" applyBorder="1" applyAlignment="1">
      <alignment horizontal="left" vertical="center" wrapText="1"/>
    </xf>
    <xf numFmtId="0" fontId="0" fillId="0" borderId="10" xfId="0" applyBorder="1" applyAlignment="1">
      <alignment vertical="center" wrapText="1"/>
    </xf>
    <xf numFmtId="0" fontId="0" fillId="0" borderId="10" xfId="0" applyBorder="1" applyAlignment="1">
      <alignment wrapText="1"/>
    </xf>
    <xf numFmtId="0" fontId="0" fillId="0" borderId="11" xfId="0" applyBorder="1" applyAlignment="1">
      <alignment wrapText="1"/>
    </xf>
    <xf numFmtId="0" fontId="3" fillId="0" borderId="7" xfId="0" applyFont="1" applyBorder="1" applyAlignment="1">
      <alignment horizontal="center" vertical="center" wrapText="1"/>
    </xf>
    <xf numFmtId="0" fontId="15" fillId="0" borderId="12" xfId="0" applyFont="1" applyBorder="1" applyAlignment="1">
      <alignment horizontal="left" vertical="center" wrapText="1"/>
    </xf>
    <xf numFmtId="0" fontId="0" fillId="0" borderId="0" xfId="0" applyAlignment="1">
      <alignment wrapText="1"/>
    </xf>
    <xf numFmtId="0" fontId="0" fillId="0" borderId="13" xfId="0" applyBorder="1" applyAlignment="1">
      <alignment wrapText="1"/>
    </xf>
    <xf numFmtId="0" fontId="3" fillId="0" borderId="5" xfId="0" applyFont="1" applyBorder="1" applyAlignment="1">
      <alignment horizontal="center" vertical="center" wrapText="1"/>
    </xf>
    <xf numFmtId="0" fontId="15" fillId="0" borderId="14" xfId="0" applyFont="1" applyBorder="1" applyAlignment="1">
      <alignment horizontal="left" vertical="center" wrapText="1"/>
    </xf>
    <xf numFmtId="0" fontId="0" fillId="0" borderId="6" xfId="0" applyBorder="1" applyAlignment="1">
      <alignment wrapText="1"/>
    </xf>
    <xf numFmtId="0" fontId="0" fillId="0" borderId="15" xfId="0" applyBorder="1" applyAlignment="1">
      <alignment wrapText="1"/>
    </xf>
    <xf numFmtId="0" fontId="15" fillId="0" borderId="0" xfId="0" applyFont="1" applyAlignment="1">
      <alignment horizontal="right" vertical="center"/>
    </xf>
  </cellXfs>
  <cellStyles count="9">
    <cellStyle name="Comma" xfId="1" builtinId="3"/>
    <cellStyle name="Comma [0]" xfId="2" builtinId="6"/>
    <cellStyle name="Comma_SPU Activity Planning Example" xfId="5" xr:uid="{91D0C2A1-258B-407D-83E2-74A11F0E1890}"/>
    <cellStyle name="Milliers 2" xfId="6" xr:uid="{DD10F7E8-BE43-49B4-9546-A3264B307218}"/>
    <cellStyle name="Normal" xfId="0" builtinId="0"/>
    <cellStyle name="Normal 3" xfId="7" xr:uid="{22FC6215-F573-4084-9141-F2E59F6A5268}"/>
    <cellStyle name="Percent" xfId="3" builtinId="5"/>
    <cellStyle name="Standaard 2 3" xfId="8" xr:uid="{FD22C1E6-62C6-418C-B4EF-A4B860D93BE8}"/>
    <cellStyle name="Standaard 3" xfId="4" xr:uid="{8C100D38-A6DB-4F64-88F3-BBE2B819D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nnie.goedkoop\AppData\Local\Temp\Temp2_ATWA%20Annual%20Financial%20Report%20Y1%2031.03.2021.zip\ATWA%20Annual%20Financial%20Report%20Y1%2031.03.2021\ATWA%20Annual%20Financial%20Report%20Y1%2031.03.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
      <sheetName val="Mali (FP)"/>
      <sheetName val="BFA (FP)"/>
      <sheetName val="Niger (FP)"/>
      <sheetName val="scnl (FP)"/>
      <sheetName val="Consolidated"/>
    </sheetNames>
    <sheetDataSet>
      <sheetData sheetId="0">
        <row r="29">
          <cell r="B29">
            <v>529391.95299999998</v>
          </cell>
        </row>
        <row r="31">
          <cell r="B31">
            <v>147778.133</v>
          </cell>
        </row>
        <row r="32">
          <cell r="B32">
            <v>360883.60800000001</v>
          </cell>
        </row>
        <row r="34">
          <cell r="B34">
            <v>20730.212</v>
          </cell>
        </row>
        <row r="39">
          <cell r="B39">
            <v>209633.26200000005</v>
          </cell>
        </row>
        <row r="41">
          <cell r="B41">
            <v>192976.67600000004</v>
          </cell>
        </row>
        <row r="42">
          <cell r="B42">
            <v>16656.585999999996</v>
          </cell>
        </row>
        <row r="47">
          <cell r="B47">
            <v>739025.21499999997</v>
          </cell>
          <cell r="F47">
            <v>739025.21499999997</v>
          </cell>
        </row>
        <row r="79">
          <cell r="F79">
            <v>1102155.8529999999</v>
          </cell>
        </row>
        <row r="88">
          <cell r="F88">
            <v>606651.31200000003</v>
          </cell>
        </row>
        <row r="95">
          <cell r="B95">
            <v>1708807.1649999998</v>
          </cell>
          <cell r="F95">
            <v>1708807.1649999998</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3B88C-0628-4BD7-B292-300DFAA29275}">
  <sheetPr>
    <pageSetUpPr fitToPage="1"/>
  </sheetPr>
  <dimension ref="A1:BC732"/>
  <sheetViews>
    <sheetView tabSelected="1" view="pageBreakPreview" zoomScale="80" zoomScaleNormal="80" zoomScaleSheetLayoutView="80" workbookViewId="0">
      <pane xSplit="2" ySplit="7" topLeftCell="C712" activePane="bottomRight" state="frozen"/>
      <selection pane="topRight" activeCell="C1" sqref="C1"/>
      <selection pane="bottomLeft" activeCell="A7" sqref="A7"/>
      <selection pane="bottomRight" activeCell="B654" sqref="B654"/>
    </sheetView>
  </sheetViews>
  <sheetFormatPr defaultRowHeight="14.5" x14ac:dyDescent="0.35"/>
  <cols>
    <col min="1" max="1" width="5.1796875" customWidth="1"/>
    <col min="2" max="2" width="81" customWidth="1"/>
    <col min="3" max="3" width="20.81640625" style="3" customWidth="1"/>
    <col min="4" max="6" width="13.54296875" style="3" hidden="1" customWidth="1"/>
    <col min="7" max="7" width="19" style="3" customWidth="1"/>
    <col min="8" max="8" width="0.81640625" style="3" customWidth="1"/>
    <col min="9" max="11" width="13.54296875" style="3" hidden="1" customWidth="1"/>
    <col min="12" max="12" width="19" style="3" customWidth="1"/>
    <col min="13" max="13" width="1.453125" style="3" customWidth="1"/>
    <col min="14" max="16" width="13.54296875" style="3" hidden="1" customWidth="1"/>
    <col min="17" max="17" width="16" style="3" hidden="1" customWidth="1"/>
    <col min="18" max="18" width="1" style="3" hidden="1" customWidth="1"/>
    <col min="19" max="21" width="13.54296875" style="3" hidden="1" customWidth="1"/>
    <col min="22" max="22" width="15.54296875" style="3" hidden="1" customWidth="1"/>
    <col min="23" max="23" width="0.7265625" style="3" hidden="1" customWidth="1"/>
    <col min="24" max="26" width="13.54296875" style="3" hidden="1" customWidth="1"/>
    <col min="27" max="27" width="16" style="3" hidden="1" customWidth="1"/>
    <col min="28" max="28" width="1.54296875" style="3" hidden="1" customWidth="1"/>
    <col min="29" max="29" width="10.1796875" style="4" hidden="1" customWidth="1"/>
    <col min="30" max="30" width="11.7265625" style="3" hidden="1" customWidth="1"/>
    <col min="31" max="31" width="10.453125" style="6" hidden="1" customWidth="1"/>
    <col min="32" max="32" width="10.1796875" style="7" hidden="1" customWidth="1"/>
    <col min="33" max="33" width="17.1796875" style="7" customWidth="1"/>
    <col min="34" max="34" width="9.54296875" style="8" hidden="1" customWidth="1"/>
    <col min="35" max="35" width="10.26953125" style="3" hidden="1" customWidth="1"/>
    <col min="36" max="36" width="10.26953125" style="6" hidden="1" customWidth="1"/>
    <col min="37" max="37" width="10.81640625" style="9" hidden="1" customWidth="1"/>
    <col min="38" max="38" width="10.54296875" style="9" hidden="1" customWidth="1"/>
    <col min="39" max="39" width="9.54296875" style="8" hidden="1" customWidth="1"/>
    <col min="40" max="40" width="10.26953125" style="3" hidden="1" customWidth="1"/>
    <col min="41" max="41" width="10.26953125" style="6" hidden="1" customWidth="1"/>
    <col min="42" max="42" width="10.81640625" style="9" hidden="1" customWidth="1"/>
    <col min="43" max="43" width="10.453125" style="9" hidden="1" customWidth="1"/>
    <col min="44" max="44" width="11.1796875" style="8" hidden="1" customWidth="1"/>
    <col min="45" max="45" width="11.1796875" style="3" hidden="1" customWidth="1"/>
    <col min="46" max="46" width="10.26953125" style="6" hidden="1" customWidth="1"/>
    <col min="47" max="47" width="10.81640625" style="9" hidden="1" customWidth="1"/>
    <col min="48" max="48" width="10.26953125" style="9" hidden="1" customWidth="1"/>
    <col min="49" max="49" width="1.26953125" customWidth="1"/>
    <col min="50" max="50" width="10.26953125" style="3" hidden="1" customWidth="1"/>
    <col min="51" max="51" width="11" style="6" hidden="1" customWidth="1"/>
    <col min="52" max="52" width="10.81640625" style="9" hidden="1" customWidth="1"/>
    <col min="53" max="53" width="19.54296875" style="9" customWidth="1"/>
    <col min="257" max="257" width="5.1796875" customWidth="1"/>
    <col min="258" max="258" width="81" customWidth="1"/>
    <col min="259" max="259" width="20.81640625" customWidth="1"/>
    <col min="260" max="262" width="0" hidden="1" customWidth="1"/>
    <col min="263" max="263" width="19" customWidth="1"/>
    <col min="264" max="264" width="0.81640625" customWidth="1"/>
    <col min="265" max="267" width="0" hidden="1" customWidth="1"/>
    <col min="268" max="268" width="19" customWidth="1"/>
    <col min="269" max="269" width="1.453125" customWidth="1"/>
    <col min="270" max="288" width="0" hidden="1" customWidth="1"/>
    <col min="289" max="289" width="17.1796875" customWidth="1"/>
    <col min="290" max="304" width="0" hidden="1" customWidth="1"/>
    <col min="305" max="305" width="1.26953125" customWidth="1"/>
    <col min="306" max="308" width="0" hidden="1" customWidth="1"/>
    <col min="309" max="309" width="19.54296875" customWidth="1"/>
    <col min="513" max="513" width="5.1796875" customWidth="1"/>
    <col min="514" max="514" width="81" customWidth="1"/>
    <col min="515" max="515" width="20.81640625" customWidth="1"/>
    <col min="516" max="518" width="0" hidden="1" customWidth="1"/>
    <col min="519" max="519" width="19" customWidth="1"/>
    <col min="520" max="520" width="0.81640625" customWidth="1"/>
    <col min="521" max="523" width="0" hidden="1" customWidth="1"/>
    <col min="524" max="524" width="19" customWidth="1"/>
    <col min="525" max="525" width="1.453125" customWidth="1"/>
    <col min="526" max="544" width="0" hidden="1" customWidth="1"/>
    <col min="545" max="545" width="17.1796875" customWidth="1"/>
    <col min="546" max="560" width="0" hidden="1" customWidth="1"/>
    <col min="561" max="561" width="1.26953125" customWidth="1"/>
    <col min="562" max="564" width="0" hidden="1" customWidth="1"/>
    <col min="565" max="565" width="19.54296875" customWidth="1"/>
    <col min="769" max="769" width="5.1796875" customWidth="1"/>
    <col min="770" max="770" width="81" customWidth="1"/>
    <col min="771" max="771" width="20.81640625" customWidth="1"/>
    <col min="772" max="774" width="0" hidden="1" customWidth="1"/>
    <col min="775" max="775" width="19" customWidth="1"/>
    <col min="776" max="776" width="0.81640625" customWidth="1"/>
    <col min="777" max="779" width="0" hidden="1" customWidth="1"/>
    <col min="780" max="780" width="19" customWidth="1"/>
    <col min="781" max="781" width="1.453125" customWidth="1"/>
    <col min="782" max="800" width="0" hidden="1" customWidth="1"/>
    <col min="801" max="801" width="17.1796875" customWidth="1"/>
    <col min="802" max="816" width="0" hidden="1" customWidth="1"/>
    <col min="817" max="817" width="1.26953125" customWidth="1"/>
    <col min="818" max="820" width="0" hidden="1" customWidth="1"/>
    <col min="821" max="821" width="19.54296875" customWidth="1"/>
    <col min="1025" max="1025" width="5.1796875" customWidth="1"/>
    <col min="1026" max="1026" width="81" customWidth="1"/>
    <col min="1027" max="1027" width="20.81640625" customWidth="1"/>
    <col min="1028" max="1030" width="0" hidden="1" customWidth="1"/>
    <col min="1031" max="1031" width="19" customWidth="1"/>
    <col min="1032" max="1032" width="0.81640625" customWidth="1"/>
    <col min="1033" max="1035" width="0" hidden="1" customWidth="1"/>
    <col min="1036" max="1036" width="19" customWidth="1"/>
    <col min="1037" max="1037" width="1.453125" customWidth="1"/>
    <col min="1038" max="1056" width="0" hidden="1" customWidth="1"/>
    <col min="1057" max="1057" width="17.1796875" customWidth="1"/>
    <col min="1058" max="1072" width="0" hidden="1" customWidth="1"/>
    <col min="1073" max="1073" width="1.26953125" customWidth="1"/>
    <col min="1074" max="1076" width="0" hidden="1" customWidth="1"/>
    <col min="1077" max="1077" width="19.54296875" customWidth="1"/>
    <col min="1281" max="1281" width="5.1796875" customWidth="1"/>
    <col min="1282" max="1282" width="81" customWidth="1"/>
    <col min="1283" max="1283" width="20.81640625" customWidth="1"/>
    <col min="1284" max="1286" width="0" hidden="1" customWidth="1"/>
    <col min="1287" max="1287" width="19" customWidth="1"/>
    <col min="1288" max="1288" width="0.81640625" customWidth="1"/>
    <col min="1289" max="1291" width="0" hidden="1" customWidth="1"/>
    <col min="1292" max="1292" width="19" customWidth="1"/>
    <col min="1293" max="1293" width="1.453125" customWidth="1"/>
    <col min="1294" max="1312" width="0" hidden="1" customWidth="1"/>
    <col min="1313" max="1313" width="17.1796875" customWidth="1"/>
    <col min="1314" max="1328" width="0" hidden="1" customWidth="1"/>
    <col min="1329" max="1329" width="1.26953125" customWidth="1"/>
    <col min="1330" max="1332" width="0" hidden="1" customWidth="1"/>
    <col min="1333" max="1333" width="19.54296875" customWidth="1"/>
    <col min="1537" max="1537" width="5.1796875" customWidth="1"/>
    <col min="1538" max="1538" width="81" customWidth="1"/>
    <col min="1539" max="1539" width="20.81640625" customWidth="1"/>
    <col min="1540" max="1542" width="0" hidden="1" customWidth="1"/>
    <col min="1543" max="1543" width="19" customWidth="1"/>
    <col min="1544" max="1544" width="0.81640625" customWidth="1"/>
    <col min="1545" max="1547" width="0" hidden="1" customWidth="1"/>
    <col min="1548" max="1548" width="19" customWidth="1"/>
    <col min="1549" max="1549" width="1.453125" customWidth="1"/>
    <col min="1550" max="1568" width="0" hidden="1" customWidth="1"/>
    <col min="1569" max="1569" width="17.1796875" customWidth="1"/>
    <col min="1570" max="1584" width="0" hidden="1" customWidth="1"/>
    <col min="1585" max="1585" width="1.26953125" customWidth="1"/>
    <col min="1586" max="1588" width="0" hidden="1" customWidth="1"/>
    <col min="1589" max="1589" width="19.54296875" customWidth="1"/>
    <col min="1793" max="1793" width="5.1796875" customWidth="1"/>
    <col min="1794" max="1794" width="81" customWidth="1"/>
    <col min="1795" max="1795" width="20.81640625" customWidth="1"/>
    <col min="1796" max="1798" width="0" hidden="1" customWidth="1"/>
    <col min="1799" max="1799" width="19" customWidth="1"/>
    <col min="1800" max="1800" width="0.81640625" customWidth="1"/>
    <col min="1801" max="1803" width="0" hidden="1" customWidth="1"/>
    <col min="1804" max="1804" width="19" customWidth="1"/>
    <col min="1805" max="1805" width="1.453125" customWidth="1"/>
    <col min="1806" max="1824" width="0" hidden="1" customWidth="1"/>
    <col min="1825" max="1825" width="17.1796875" customWidth="1"/>
    <col min="1826" max="1840" width="0" hidden="1" customWidth="1"/>
    <col min="1841" max="1841" width="1.26953125" customWidth="1"/>
    <col min="1842" max="1844" width="0" hidden="1" customWidth="1"/>
    <col min="1845" max="1845" width="19.54296875" customWidth="1"/>
    <col min="2049" max="2049" width="5.1796875" customWidth="1"/>
    <col min="2050" max="2050" width="81" customWidth="1"/>
    <col min="2051" max="2051" width="20.81640625" customWidth="1"/>
    <col min="2052" max="2054" width="0" hidden="1" customWidth="1"/>
    <col min="2055" max="2055" width="19" customWidth="1"/>
    <col min="2056" max="2056" width="0.81640625" customWidth="1"/>
    <col min="2057" max="2059" width="0" hidden="1" customWidth="1"/>
    <col min="2060" max="2060" width="19" customWidth="1"/>
    <col min="2061" max="2061" width="1.453125" customWidth="1"/>
    <col min="2062" max="2080" width="0" hidden="1" customWidth="1"/>
    <col min="2081" max="2081" width="17.1796875" customWidth="1"/>
    <col min="2082" max="2096" width="0" hidden="1" customWidth="1"/>
    <col min="2097" max="2097" width="1.26953125" customWidth="1"/>
    <col min="2098" max="2100" width="0" hidden="1" customWidth="1"/>
    <col min="2101" max="2101" width="19.54296875" customWidth="1"/>
    <col min="2305" max="2305" width="5.1796875" customWidth="1"/>
    <col min="2306" max="2306" width="81" customWidth="1"/>
    <col min="2307" max="2307" width="20.81640625" customWidth="1"/>
    <col min="2308" max="2310" width="0" hidden="1" customWidth="1"/>
    <col min="2311" max="2311" width="19" customWidth="1"/>
    <col min="2312" max="2312" width="0.81640625" customWidth="1"/>
    <col min="2313" max="2315" width="0" hidden="1" customWidth="1"/>
    <col min="2316" max="2316" width="19" customWidth="1"/>
    <col min="2317" max="2317" width="1.453125" customWidth="1"/>
    <col min="2318" max="2336" width="0" hidden="1" customWidth="1"/>
    <col min="2337" max="2337" width="17.1796875" customWidth="1"/>
    <col min="2338" max="2352" width="0" hidden="1" customWidth="1"/>
    <col min="2353" max="2353" width="1.26953125" customWidth="1"/>
    <col min="2354" max="2356" width="0" hidden="1" customWidth="1"/>
    <col min="2357" max="2357" width="19.54296875" customWidth="1"/>
    <col min="2561" max="2561" width="5.1796875" customWidth="1"/>
    <col min="2562" max="2562" width="81" customWidth="1"/>
    <col min="2563" max="2563" width="20.81640625" customWidth="1"/>
    <col min="2564" max="2566" width="0" hidden="1" customWidth="1"/>
    <col min="2567" max="2567" width="19" customWidth="1"/>
    <col min="2568" max="2568" width="0.81640625" customWidth="1"/>
    <col min="2569" max="2571" width="0" hidden="1" customWidth="1"/>
    <col min="2572" max="2572" width="19" customWidth="1"/>
    <col min="2573" max="2573" width="1.453125" customWidth="1"/>
    <col min="2574" max="2592" width="0" hidden="1" customWidth="1"/>
    <col min="2593" max="2593" width="17.1796875" customWidth="1"/>
    <col min="2594" max="2608" width="0" hidden="1" customWidth="1"/>
    <col min="2609" max="2609" width="1.26953125" customWidth="1"/>
    <col min="2610" max="2612" width="0" hidden="1" customWidth="1"/>
    <col min="2613" max="2613" width="19.54296875" customWidth="1"/>
    <col min="2817" max="2817" width="5.1796875" customWidth="1"/>
    <col min="2818" max="2818" width="81" customWidth="1"/>
    <col min="2819" max="2819" width="20.81640625" customWidth="1"/>
    <col min="2820" max="2822" width="0" hidden="1" customWidth="1"/>
    <col min="2823" max="2823" width="19" customWidth="1"/>
    <col min="2824" max="2824" width="0.81640625" customWidth="1"/>
    <col min="2825" max="2827" width="0" hidden="1" customWidth="1"/>
    <col min="2828" max="2828" width="19" customWidth="1"/>
    <col min="2829" max="2829" width="1.453125" customWidth="1"/>
    <col min="2830" max="2848" width="0" hidden="1" customWidth="1"/>
    <col min="2849" max="2849" width="17.1796875" customWidth="1"/>
    <col min="2850" max="2864" width="0" hidden="1" customWidth="1"/>
    <col min="2865" max="2865" width="1.26953125" customWidth="1"/>
    <col min="2866" max="2868" width="0" hidden="1" customWidth="1"/>
    <col min="2869" max="2869" width="19.54296875" customWidth="1"/>
    <col min="3073" max="3073" width="5.1796875" customWidth="1"/>
    <col min="3074" max="3074" width="81" customWidth="1"/>
    <col min="3075" max="3075" width="20.81640625" customWidth="1"/>
    <col min="3076" max="3078" width="0" hidden="1" customWidth="1"/>
    <col min="3079" max="3079" width="19" customWidth="1"/>
    <col min="3080" max="3080" width="0.81640625" customWidth="1"/>
    <col min="3081" max="3083" width="0" hidden="1" customWidth="1"/>
    <col min="3084" max="3084" width="19" customWidth="1"/>
    <col min="3085" max="3085" width="1.453125" customWidth="1"/>
    <col min="3086" max="3104" width="0" hidden="1" customWidth="1"/>
    <col min="3105" max="3105" width="17.1796875" customWidth="1"/>
    <col min="3106" max="3120" width="0" hidden="1" customWidth="1"/>
    <col min="3121" max="3121" width="1.26953125" customWidth="1"/>
    <col min="3122" max="3124" width="0" hidden="1" customWidth="1"/>
    <col min="3125" max="3125" width="19.54296875" customWidth="1"/>
    <col min="3329" max="3329" width="5.1796875" customWidth="1"/>
    <col min="3330" max="3330" width="81" customWidth="1"/>
    <col min="3331" max="3331" width="20.81640625" customWidth="1"/>
    <col min="3332" max="3334" width="0" hidden="1" customWidth="1"/>
    <col min="3335" max="3335" width="19" customWidth="1"/>
    <col min="3336" max="3336" width="0.81640625" customWidth="1"/>
    <col min="3337" max="3339" width="0" hidden="1" customWidth="1"/>
    <col min="3340" max="3340" width="19" customWidth="1"/>
    <col min="3341" max="3341" width="1.453125" customWidth="1"/>
    <col min="3342" max="3360" width="0" hidden="1" customWidth="1"/>
    <col min="3361" max="3361" width="17.1796875" customWidth="1"/>
    <col min="3362" max="3376" width="0" hidden="1" customWidth="1"/>
    <col min="3377" max="3377" width="1.26953125" customWidth="1"/>
    <col min="3378" max="3380" width="0" hidden="1" customWidth="1"/>
    <col min="3381" max="3381" width="19.54296875" customWidth="1"/>
    <col min="3585" max="3585" width="5.1796875" customWidth="1"/>
    <col min="3586" max="3586" width="81" customWidth="1"/>
    <col min="3587" max="3587" width="20.81640625" customWidth="1"/>
    <col min="3588" max="3590" width="0" hidden="1" customWidth="1"/>
    <col min="3591" max="3591" width="19" customWidth="1"/>
    <col min="3592" max="3592" width="0.81640625" customWidth="1"/>
    <col min="3593" max="3595" width="0" hidden="1" customWidth="1"/>
    <col min="3596" max="3596" width="19" customWidth="1"/>
    <col min="3597" max="3597" width="1.453125" customWidth="1"/>
    <col min="3598" max="3616" width="0" hidden="1" customWidth="1"/>
    <col min="3617" max="3617" width="17.1796875" customWidth="1"/>
    <col min="3618" max="3632" width="0" hidden="1" customWidth="1"/>
    <col min="3633" max="3633" width="1.26953125" customWidth="1"/>
    <col min="3634" max="3636" width="0" hidden="1" customWidth="1"/>
    <col min="3637" max="3637" width="19.54296875" customWidth="1"/>
    <col min="3841" max="3841" width="5.1796875" customWidth="1"/>
    <col min="3842" max="3842" width="81" customWidth="1"/>
    <col min="3843" max="3843" width="20.81640625" customWidth="1"/>
    <col min="3844" max="3846" width="0" hidden="1" customWidth="1"/>
    <col min="3847" max="3847" width="19" customWidth="1"/>
    <col min="3848" max="3848" width="0.81640625" customWidth="1"/>
    <col min="3849" max="3851" width="0" hidden="1" customWidth="1"/>
    <col min="3852" max="3852" width="19" customWidth="1"/>
    <col min="3853" max="3853" width="1.453125" customWidth="1"/>
    <col min="3854" max="3872" width="0" hidden="1" customWidth="1"/>
    <col min="3873" max="3873" width="17.1796875" customWidth="1"/>
    <col min="3874" max="3888" width="0" hidden="1" customWidth="1"/>
    <col min="3889" max="3889" width="1.26953125" customWidth="1"/>
    <col min="3890" max="3892" width="0" hidden="1" customWidth="1"/>
    <col min="3893" max="3893" width="19.54296875" customWidth="1"/>
    <col min="4097" max="4097" width="5.1796875" customWidth="1"/>
    <col min="4098" max="4098" width="81" customWidth="1"/>
    <col min="4099" max="4099" width="20.81640625" customWidth="1"/>
    <col min="4100" max="4102" width="0" hidden="1" customWidth="1"/>
    <col min="4103" max="4103" width="19" customWidth="1"/>
    <col min="4104" max="4104" width="0.81640625" customWidth="1"/>
    <col min="4105" max="4107" width="0" hidden="1" customWidth="1"/>
    <col min="4108" max="4108" width="19" customWidth="1"/>
    <col min="4109" max="4109" width="1.453125" customWidth="1"/>
    <col min="4110" max="4128" width="0" hidden="1" customWidth="1"/>
    <col min="4129" max="4129" width="17.1796875" customWidth="1"/>
    <col min="4130" max="4144" width="0" hidden="1" customWidth="1"/>
    <col min="4145" max="4145" width="1.26953125" customWidth="1"/>
    <col min="4146" max="4148" width="0" hidden="1" customWidth="1"/>
    <col min="4149" max="4149" width="19.54296875" customWidth="1"/>
    <col min="4353" max="4353" width="5.1796875" customWidth="1"/>
    <col min="4354" max="4354" width="81" customWidth="1"/>
    <col min="4355" max="4355" width="20.81640625" customWidth="1"/>
    <col min="4356" max="4358" width="0" hidden="1" customWidth="1"/>
    <col min="4359" max="4359" width="19" customWidth="1"/>
    <col min="4360" max="4360" width="0.81640625" customWidth="1"/>
    <col min="4361" max="4363" width="0" hidden="1" customWidth="1"/>
    <col min="4364" max="4364" width="19" customWidth="1"/>
    <col min="4365" max="4365" width="1.453125" customWidth="1"/>
    <col min="4366" max="4384" width="0" hidden="1" customWidth="1"/>
    <col min="4385" max="4385" width="17.1796875" customWidth="1"/>
    <col min="4386" max="4400" width="0" hidden="1" customWidth="1"/>
    <col min="4401" max="4401" width="1.26953125" customWidth="1"/>
    <col min="4402" max="4404" width="0" hidden="1" customWidth="1"/>
    <col min="4405" max="4405" width="19.54296875" customWidth="1"/>
    <col min="4609" max="4609" width="5.1796875" customWidth="1"/>
    <col min="4610" max="4610" width="81" customWidth="1"/>
    <col min="4611" max="4611" width="20.81640625" customWidth="1"/>
    <col min="4612" max="4614" width="0" hidden="1" customWidth="1"/>
    <col min="4615" max="4615" width="19" customWidth="1"/>
    <col min="4616" max="4616" width="0.81640625" customWidth="1"/>
    <col min="4617" max="4619" width="0" hidden="1" customWidth="1"/>
    <col min="4620" max="4620" width="19" customWidth="1"/>
    <col min="4621" max="4621" width="1.453125" customWidth="1"/>
    <col min="4622" max="4640" width="0" hidden="1" customWidth="1"/>
    <col min="4641" max="4641" width="17.1796875" customWidth="1"/>
    <col min="4642" max="4656" width="0" hidden="1" customWidth="1"/>
    <col min="4657" max="4657" width="1.26953125" customWidth="1"/>
    <col min="4658" max="4660" width="0" hidden="1" customWidth="1"/>
    <col min="4661" max="4661" width="19.54296875" customWidth="1"/>
    <col min="4865" max="4865" width="5.1796875" customWidth="1"/>
    <col min="4866" max="4866" width="81" customWidth="1"/>
    <col min="4867" max="4867" width="20.81640625" customWidth="1"/>
    <col min="4868" max="4870" width="0" hidden="1" customWidth="1"/>
    <col min="4871" max="4871" width="19" customWidth="1"/>
    <col min="4872" max="4872" width="0.81640625" customWidth="1"/>
    <col min="4873" max="4875" width="0" hidden="1" customWidth="1"/>
    <col min="4876" max="4876" width="19" customWidth="1"/>
    <col min="4877" max="4877" width="1.453125" customWidth="1"/>
    <col min="4878" max="4896" width="0" hidden="1" customWidth="1"/>
    <col min="4897" max="4897" width="17.1796875" customWidth="1"/>
    <col min="4898" max="4912" width="0" hidden="1" customWidth="1"/>
    <col min="4913" max="4913" width="1.26953125" customWidth="1"/>
    <col min="4914" max="4916" width="0" hidden="1" customWidth="1"/>
    <col min="4917" max="4917" width="19.54296875" customWidth="1"/>
    <col min="5121" max="5121" width="5.1796875" customWidth="1"/>
    <col min="5122" max="5122" width="81" customWidth="1"/>
    <col min="5123" max="5123" width="20.81640625" customWidth="1"/>
    <col min="5124" max="5126" width="0" hidden="1" customWidth="1"/>
    <col min="5127" max="5127" width="19" customWidth="1"/>
    <col min="5128" max="5128" width="0.81640625" customWidth="1"/>
    <col min="5129" max="5131" width="0" hidden="1" customWidth="1"/>
    <col min="5132" max="5132" width="19" customWidth="1"/>
    <col min="5133" max="5133" width="1.453125" customWidth="1"/>
    <col min="5134" max="5152" width="0" hidden="1" customWidth="1"/>
    <col min="5153" max="5153" width="17.1796875" customWidth="1"/>
    <col min="5154" max="5168" width="0" hidden="1" customWidth="1"/>
    <col min="5169" max="5169" width="1.26953125" customWidth="1"/>
    <col min="5170" max="5172" width="0" hidden="1" customWidth="1"/>
    <col min="5173" max="5173" width="19.54296875" customWidth="1"/>
    <col min="5377" max="5377" width="5.1796875" customWidth="1"/>
    <col min="5378" max="5378" width="81" customWidth="1"/>
    <col min="5379" max="5379" width="20.81640625" customWidth="1"/>
    <col min="5380" max="5382" width="0" hidden="1" customWidth="1"/>
    <col min="5383" max="5383" width="19" customWidth="1"/>
    <col min="5384" max="5384" width="0.81640625" customWidth="1"/>
    <col min="5385" max="5387" width="0" hidden="1" customWidth="1"/>
    <col min="5388" max="5388" width="19" customWidth="1"/>
    <col min="5389" max="5389" width="1.453125" customWidth="1"/>
    <col min="5390" max="5408" width="0" hidden="1" customWidth="1"/>
    <col min="5409" max="5409" width="17.1796875" customWidth="1"/>
    <col min="5410" max="5424" width="0" hidden="1" customWidth="1"/>
    <col min="5425" max="5425" width="1.26953125" customWidth="1"/>
    <col min="5426" max="5428" width="0" hidden="1" customWidth="1"/>
    <col min="5429" max="5429" width="19.54296875" customWidth="1"/>
    <col min="5633" max="5633" width="5.1796875" customWidth="1"/>
    <col min="5634" max="5634" width="81" customWidth="1"/>
    <col min="5635" max="5635" width="20.81640625" customWidth="1"/>
    <col min="5636" max="5638" width="0" hidden="1" customWidth="1"/>
    <col min="5639" max="5639" width="19" customWidth="1"/>
    <col min="5640" max="5640" width="0.81640625" customWidth="1"/>
    <col min="5641" max="5643" width="0" hidden="1" customWidth="1"/>
    <col min="5644" max="5644" width="19" customWidth="1"/>
    <col min="5645" max="5645" width="1.453125" customWidth="1"/>
    <col min="5646" max="5664" width="0" hidden="1" customWidth="1"/>
    <col min="5665" max="5665" width="17.1796875" customWidth="1"/>
    <col min="5666" max="5680" width="0" hidden="1" customWidth="1"/>
    <col min="5681" max="5681" width="1.26953125" customWidth="1"/>
    <col min="5682" max="5684" width="0" hidden="1" customWidth="1"/>
    <col min="5685" max="5685" width="19.54296875" customWidth="1"/>
    <col min="5889" max="5889" width="5.1796875" customWidth="1"/>
    <col min="5890" max="5890" width="81" customWidth="1"/>
    <col min="5891" max="5891" width="20.81640625" customWidth="1"/>
    <col min="5892" max="5894" width="0" hidden="1" customWidth="1"/>
    <col min="5895" max="5895" width="19" customWidth="1"/>
    <col min="5896" max="5896" width="0.81640625" customWidth="1"/>
    <col min="5897" max="5899" width="0" hidden="1" customWidth="1"/>
    <col min="5900" max="5900" width="19" customWidth="1"/>
    <col min="5901" max="5901" width="1.453125" customWidth="1"/>
    <col min="5902" max="5920" width="0" hidden="1" customWidth="1"/>
    <col min="5921" max="5921" width="17.1796875" customWidth="1"/>
    <col min="5922" max="5936" width="0" hidden="1" customWidth="1"/>
    <col min="5937" max="5937" width="1.26953125" customWidth="1"/>
    <col min="5938" max="5940" width="0" hidden="1" customWidth="1"/>
    <col min="5941" max="5941" width="19.54296875" customWidth="1"/>
    <col min="6145" max="6145" width="5.1796875" customWidth="1"/>
    <col min="6146" max="6146" width="81" customWidth="1"/>
    <col min="6147" max="6147" width="20.81640625" customWidth="1"/>
    <col min="6148" max="6150" width="0" hidden="1" customWidth="1"/>
    <col min="6151" max="6151" width="19" customWidth="1"/>
    <col min="6152" max="6152" width="0.81640625" customWidth="1"/>
    <col min="6153" max="6155" width="0" hidden="1" customWidth="1"/>
    <col min="6156" max="6156" width="19" customWidth="1"/>
    <col min="6157" max="6157" width="1.453125" customWidth="1"/>
    <col min="6158" max="6176" width="0" hidden="1" customWidth="1"/>
    <col min="6177" max="6177" width="17.1796875" customWidth="1"/>
    <col min="6178" max="6192" width="0" hidden="1" customWidth="1"/>
    <col min="6193" max="6193" width="1.26953125" customWidth="1"/>
    <col min="6194" max="6196" width="0" hidden="1" customWidth="1"/>
    <col min="6197" max="6197" width="19.54296875" customWidth="1"/>
    <col min="6401" max="6401" width="5.1796875" customWidth="1"/>
    <col min="6402" max="6402" width="81" customWidth="1"/>
    <col min="6403" max="6403" width="20.81640625" customWidth="1"/>
    <col min="6404" max="6406" width="0" hidden="1" customWidth="1"/>
    <col min="6407" max="6407" width="19" customWidth="1"/>
    <col min="6408" max="6408" width="0.81640625" customWidth="1"/>
    <col min="6409" max="6411" width="0" hidden="1" customWidth="1"/>
    <col min="6412" max="6412" width="19" customWidth="1"/>
    <col min="6413" max="6413" width="1.453125" customWidth="1"/>
    <col min="6414" max="6432" width="0" hidden="1" customWidth="1"/>
    <col min="6433" max="6433" width="17.1796875" customWidth="1"/>
    <col min="6434" max="6448" width="0" hidden="1" customWidth="1"/>
    <col min="6449" max="6449" width="1.26953125" customWidth="1"/>
    <col min="6450" max="6452" width="0" hidden="1" customWidth="1"/>
    <col min="6453" max="6453" width="19.54296875" customWidth="1"/>
    <col min="6657" max="6657" width="5.1796875" customWidth="1"/>
    <col min="6658" max="6658" width="81" customWidth="1"/>
    <col min="6659" max="6659" width="20.81640625" customWidth="1"/>
    <col min="6660" max="6662" width="0" hidden="1" customWidth="1"/>
    <col min="6663" max="6663" width="19" customWidth="1"/>
    <col min="6664" max="6664" width="0.81640625" customWidth="1"/>
    <col min="6665" max="6667" width="0" hidden="1" customWidth="1"/>
    <col min="6668" max="6668" width="19" customWidth="1"/>
    <col min="6669" max="6669" width="1.453125" customWidth="1"/>
    <col min="6670" max="6688" width="0" hidden="1" customWidth="1"/>
    <col min="6689" max="6689" width="17.1796875" customWidth="1"/>
    <col min="6690" max="6704" width="0" hidden="1" customWidth="1"/>
    <col min="6705" max="6705" width="1.26953125" customWidth="1"/>
    <col min="6706" max="6708" width="0" hidden="1" customWidth="1"/>
    <col min="6709" max="6709" width="19.54296875" customWidth="1"/>
    <col min="6913" max="6913" width="5.1796875" customWidth="1"/>
    <col min="6914" max="6914" width="81" customWidth="1"/>
    <col min="6915" max="6915" width="20.81640625" customWidth="1"/>
    <col min="6916" max="6918" width="0" hidden="1" customWidth="1"/>
    <col min="6919" max="6919" width="19" customWidth="1"/>
    <col min="6920" max="6920" width="0.81640625" customWidth="1"/>
    <col min="6921" max="6923" width="0" hidden="1" customWidth="1"/>
    <col min="6924" max="6924" width="19" customWidth="1"/>
    <col min="6925" max="6925" width="1.453125" customWidth="1"/>
    <col min="6926" max="6944" width="0" hidden="1" customWidth="1"/>
    <col min="6945" max="6945" width="17.1796875" customWidth="1"/>
    <col min="6946" max="6960" width="0" hidden="1" customWidth="1"/>
    <col min="6961" max="6961" width="1.26953125" customWidth="1"/>
    <col min="6962" max="6964" width="0" hidden="1" customWidth="1"/>
    <col min="6965" max="6965" width="19.54296875" customWidth="1"/>
    <col min="7169" max="7169" width="5.1796875" customWidth="1"/>
    <col min="7170" max="7170" width="81" customWidth="1"/>
    <col min="7171" max="7171" width="20.81640625" customWidth="1"/>
    <col min="7172" max="7174" width="0" hidden="1" customWidth="1"/>
    <col min="7175" max="7175" width="19" customWidth="1"/>
    <col min="7176" max="7176" width="0.81640625" customWidth="1"/>
    <col min="7177" max="7179" width="0" hidden="1" customWidth="1"/>
    <col min="7180" max="7180" width="19" customWidth="1"/>
    <col min="7181" max="7181" width="1.453125" customWidth="1"/>
    <col min="7182" max="7200" width="0" hidden="1" customWidth="1"/>
    <col min="7201" max="7201" width="17.1796875" customWidth="1"/>
    <col min="7202" max="7216" width="0" hidden="1" customWidth="1"/>
    <col min="7217" max="7217" width="1.26953125" customWidth="1"/>
    <col min="7218" max="7220" width="0" hidden="1" customWidth="1"/>
    <col min="7221" max="7221" width="19.54296875" customWidth="1"/>
    <col min="7425" max="7425" width="5.1796875" customWidth="1"/>
    <col min="7426" max="7426" width="81" customWidth="1"/>
    <col min="7427" max="7427" width="20.81640625" customWidth="1"/>
    <col min="7428" max="7430" width="0" hidden="1" customWidth="1"/>
    <col min="7431" max="7431" width="19" customWidth="1"/>
    <col min="7432" max="7432" width="0.81640625" customWidth="1"/>
    <col min="7433" max="7435" width="0" hidden="1" customWidth="1"/>
    <col min="7436" max="7436" width="19" customWidth="1"/>
    <col min="7437" max="7437" width="1.453125" customWidth="1"/>
    <col min="7438" max="7456" width="0" hidden="1" customWidth="1"/>
    <col min="7457" max="7457" width="17.1796875" customWidth="1"/>
    <col min="7458" max="7472" width="0" hidden="1" customWidth="1"/>
    <col min="7473" max="7473" width="1.26953125" customWidth="1"/>
    <col min="7474" max="7476" width="0" hidden="1" customWidth="1"/>
    <col min="7477" max="7477" width="19.54296875" customWidth="1"/>
    <col min="7681" max="7681" width="5.1796875" customWidth="1"/>
    <col min="7682" max="7682" width="81" customWidth="1"/>
    <col min="7683" max="7683" width="20.81640625" customWidth="1"/>
    <col min="7684" max="7686" width="0" hidden="1" customWidth="1"/>
    <col min="7687" max="7687" width="19" customWidth="1"/>
    <col min="7688" max="7688" width="0.81640625" customWidth="1"/>
    <col min="7689" max="7691" width="0" hidden="1" customWidth="1"/>
    <col min="7692" max="7692" width="19" customWidth="1"/>
    <col min="7693" max="7693" width="1.453125" customWidth="1"/>
    <col min="7694" max="7712" width="0" hidden="1" customWidth="1"/>
    <col min="7713" max="7713" width="17.1796875" customWidth="1"/>
    <col min="7714" max="7728" width="0" hidden="1" customWidth="1"/>
    <col min="7729" max="7729" width="1.26953125" customWidth="1"/>
    <col min="7730" max="7732" width="0" hidden="1" customWidth="1"/>
    <col min="7733" max="7733" width="19.54296875" customWidth="1"/>
    <col min="7937" max="7937" width="5.1796875" customWidth="1"/>
    <col min="7938" max="7938" width="81" customWidth="1"/>
    <col min="7939" max="7939" width="20.81640625" customWidth="1"/>
    <col min="7940" max="7942" width="0" hidden="1" customWidth="1"/>
    <col min="7943" max="7943" width="19" customWidth="1"/>
    <col min="7944" max="7944" width="0.81640625" customWidth="1"/>
    <col min="7945" max="7947" width="0" hidden="1" customWidth="1"/>
    <col min="7948" max="7948" width="19" customWidth="1"/>
    <col min="7949" max="7949" width="1.453125" customWidth="1"/>
    <col min="7950" max="7968" width="0" hidden="1" customWidth="1"/>
    <col min="7969" max="7969" width="17.1796875" customWidth="1"/>
    <col min="7970" max="7984" width="0" hidden="1" customWidth="1"/>
    <col min="7985" max="7985" width="1.26953125" customWidth="1"/>
    <col min="7986" max="7988" width="0" hidden="1" customWidth="1"/>
    <col min="7989" max="7989" width="19.54296875" customWidth="1"/>
    <col min="8193" max="8193" width="5.1796875" customWidth="1"/>
    <col min="8194" max="8194" width="81" customWidth="1"/>
    <col min="8195" max="8195" width="20.81640625" customWidth="1"/>
    <col min="8196" max="8198" width="0" hidden="1" customWidth="1"/>
    <col min="8199" max="8199" width="19" customWidth="1"/>
    <col min="8200" max="8200" width="0.81640625" customWidth="1"/>
    <col min="8201" max="8203" width="0" hidden="1" customWidth="1"/>
    <col min="8204" max="8204" width="19" customWidth="1"/>
    <col min="8205" max="8205" width="1.453125" customWidth="1"/>
    <col min="8206" max="8224" width="0" hidden="1" customWidth="1"/>
    <col min="8225" max="8225" width="17.1796875" customWidth="1"/>
    <col min="8226" max="8240" width="0" hidden="1" customWidth="1"/>
    <col min="8241" max="8241" width="1.26953125" customWidth="1"/>
    <col min="8242" max="8244" width="0" hidden="1" customWidth="1"/>
    <col min="8245" max="8245" width="19.54296875" customWidth="1"/>
    <col min="8449" max="8449" width="5.1796875" customWidth="1"/>
    <col min="8450" max="8450" width="81" customWidth="1"/>
    <col min="8451" max="8451" width="20.81640625" customWidth="1"/>
    <col min="8452" max="8454" width="0" hidden="1" customWidth="1"/>
    <col min="8455" max="8455" width="19" customWidth="1"/>
    <col min="8456" max="8456" width="0.81640625" customWidth="1"/>
    <col min="8457" max="8459" width="0" hidden="1" customWidth="1"/>
    <col min="8460" max="8460" width="19" customWidth="1"/>
    <col min="8461" max="8461" width="1.453125" customWidth="1"/>
    <col min="8462" max="8480" width="0" hidden="1" customWidth="1"/>
    <col min="8481" max="8481" width="17.1796875" customWidth="1"/>
    <col min="8482" max="8496" width="0" hidden="1" customWidth="1"/>
    <col min="8497" max="8497" width="1.26953125" customWidth="1"/>
    <col min="8498" max="8500" width="0" hidden="1" customWidth="1"/>
    <col min="8501" max="8501" width="19.54296875" customWidth="1"/>
    <col min="8705" max="8705" width="5.1796875" customWidth="1"/>
    <col min="8706" max="8706" width="81" customWidth="1"/>
    <col min="8707" max="8707" width="20.81640625" customWidth="1"/>
    <col min="8708" max="8710" width="0" hidden="1" customWidth="1"/>
    <col min="8711" max="8711" width="19" customWidth="1"/>
    <col min="8712" max="8712" width="0.81640625" customWidth="1"/>
    <col min="8713" max="8715" width="0" hidden="1" customWidth="1"/>
    <col min="8716" max="8716" width="19" customWidth="1"/>
    <col min="8717" max="8717" width="1.453125" customWidth="1"/>
    <col min="8718" max="8736" width="0" hidden="1" customWidth="1"/>
    <col min="8737" max="8737" width="17.1796875" customWidth="1"/>
    <col min="8738" max="8752" width="0" hidden="1" customWidth="1"/>
    <col min="8753" max="8753" width="1.26953125" customWidth="1"/>
    <col min="8754" max="8756" width="0" hidden="1" customWidth="1"/>
    <col min="8757" max="8757" width="19.54296875" customWidth="1"/>
    <col min="8961" max="8961" width="5.1796875" customWidth="1"/>
    <col min="8962" max="8962" width="81" customWidth="1"/>
    <col min="8963" max="8963" width="20.81640625" customWidth="1"/>
    <col min="8964" max="8966" width="0" hidden="1" customWidth="1"/>
    <col min="8967" max="8967" width="19" customWidth="1"/>
    <col min="8968" max="8968" width="0.81640625" customWidth="1"/>
    <col min="8969" max="8971" width="0" hidden="1" customWidth="1"/>
    <col min="8972" max="8972" width="19" customWidth="1"/>
    <col min="8973" max="8973" width="1.453125" customWidth="1"/>
    <col min="8974" max="8992" width="0" hidden="1" customWidth="1"/>
    <col min="8993" max="8993" width="17.1796875" customWidth="1"/>
    <col min="8994" max="9008" width="0" hidden="1" customWidth="1"/>
    <col min="9009" max="9009" width="1.26953125" customWidth="1"/>
    <col min="9010" max="9012" width="0" hidden="1" customWidth="1"/>
    <col min="9013" max="9013" width="19.54296875" customWidth="1"/>
    <col min="9217" max="9217" width="5.1796875" customWidth="1"/>
    <col min="9218" max="9218" width="81" customWidth="1"/>
    <col min="9219" max="9219" width="20.81640625" customWidth="1"/>
    <col min="9220" max="9222" width="0" hidden="1" customWidth="1"/>
    <col min="9223" max="9223" width="19" customWidth="1"/>
    <col min="9224" max="9224" width="0.81640625" customWidth="1"/>
    <col min="9225" max="9227" width="0" hidden="1" customWidth="1"/>
    <col min="9228" max="9228" width="19" customWidth="1"/>
    <col min="9229" max="9229" width="1.453125" customWidth="1"/>
    <col min="9230" max="9248" width="0" hidden="1" customWidth="1"/>
    <col min="9249" max="9249" width="17.1796875" customWidth="1"/>
    <col min="9250" max="9264" width="0" hidden="1" customWidth="1"/>
    <col min="9265" max="9265" width="1.26953125" customWidth="1"/>
    <col min="9266" max="9268" width="0" hidden="1" customWidth="1"/>
    <col min="9269" max="9269" width="19.54296875" customWidth="1"/>
    <col min="9473" max="9473" width="5.1796875" customWidth="1"/>
    <col min="9474" max="9474" width="81" customWidth="1"/>
    <col min="9475" max="9475" width="20.81640625" customWidth="1"/>
    <col min="9476" max="9478" width="0" hidden="1" customWidth="1"/>
    <col min="9479" max="9479" width="19" customWidth="1"/>
    <col min="9480" max="9480" width="0.81640625" customWidth="1"/>
    <col min="9481" max="9483" width="0" hidden="1" customWidth="1"/>
    <col min="9484" max="9484" width="19" customWidth="1"/>
    <col min="9485" max="9485" width="1.453125" customWidth="1"/>
    <col min="9486" max="9504" width="0" hidden="1" customWidth="1"/>
    <col min="9505" max="9505" width="17.1796875" customWidth="1"/>
    <col min="9506" max="9520" width="0" hidden="1" customWidth="1"/>
    <col min="9521" max="9521" width="1.26953125" customWidth="1"/>
    <col min="9522" max="9524" width="0" hidden="1" customWidth="1"/>
    <col min="9525" max="9525" width="19.54296875" customWidth="1"/>
    <col min="9729" max="9729" width="5.1796875" customWidth="1"/>
    <col min="9730" max="9730" width="81" customWidth="1"/>
    <col min="9731" max="9731" width="20.81640625" customWidth="1"/>
    <col min="9732" max="9734" width="0" hidden="1" customWidth="1"/>
    <col min="9735" max="9735" width="19" customWidth="1"/>
    <col min="9736" max="9736" width="0.81640625" customWidth="1"/>
    <col min="9737" max="9739" width="0" hidden="1" customWidth="1"/>
    <col min="9740" max="9740" width="19" customWidth="1"/>
    <col min="9741" max="9741" width="1.453125" customWidth="1"/>
    <col min="9742" max="9760" width="0" hidden="1" customWidth="1"/>
    <col min="9761" max="9761" width="17.1796875" customWidth="1"/>
    <col min="9762" max="9776" width="0" hidden="1" customWidth="1"/>
    <col min="9777" max="9777" width="1.26953125" customWidth="1"/>
    <col min="9778" max="9780" width="0" hidden="1" customWidth="1"/>
    <col min="9781" max="9781" width="19.54296875" customWidth="1"/>
    <col min="9985" max="9985" width="5.1796875" customWidth="1"/>
    <col min="9986" max="9986" width="81" customWidth="1"/>
    <col min="9987" max="9987" width="20.81640625" customWidth="1"/>
    <col min="9988" max="9990" width="0" hidden="1" customWidth="1"/>
    <col min="9991" max="9991" width="19" customWidth="1"/>
    <col min="9992" max="9992" width="0.81640625" customWidth="1"/>
    <col min="9993" max="9995" width="0" hidden="1" customWidth="1"/>
    <col min="9996" max="9996" width="19" customWidth="1"/>
    <col min="9997" max="9997" width="1.453125" customWidth="1"/>
    <col min="9998" max="10016" width="0" hidden="1" customWidth="1"/>
    <col min="10017" max="10017" width="17.1796875" customWidth="1"/>
    <col min="10018" max="10032" width="0" hidden="1" customWidth="1"/>
    <col min="10033" max="10033" width="1.26953125" customWidth="1"/>
    <col min="10034" max="10036" width="0" hidden="1" customWidth="1"/>
    <col min="10037" max="10037" width="19.54296875" customWidth="1"/>
    <col min="10241" max="10241" width="5.1796875" customWidth="1"/>
    <col min="10242" max="10242" width="81" customWidth="1"/>
    <col min="10243" max="10243" width="20.81640625" customWidth="1"/>
    <col min="10244" max="10246" width="0" hidden="1" customWidth="1"/>
    <col min="10247" max="10247" width="19" customWidth="1"/>
    <col min="10248" max="10248" width="0.81640625" customWidth="1"/>
    <col min="10249" max="10251" width="0" hidden="1" customWidth="1"/>
    <col min="10252" max="10252" width="19" customWidth="1"/>
    <col min="10253" max="10253" width="1.453125" customWidth="1"/>
    <col min="10254" max="10272" width="0" hidden="1" customWidth="1"/>
    <col min="10273" max="10273" width="17.1796875" customWidth="1"/>
    <col min="10274" max="10288" width="0" hidden="1" customWidth="1"/>
    <col min="10289" max="10289" width="1.26953125" customWidth="1"/>
    <col min="10290" max="10292" width="0" hidden="1" customWidth="1"/>
    <col min="10293" max="10293" width="19.54296875" customWidth="1"/>
    <col min="10497" max="10497" width="5.1796875" customWidth="1"/>
    <col min="10498" max="10498" width="81" customWidth="1"/>
    <col min="10499" max="10499" width="20.81640625" customWidth="1"/>
    <col min="10500" max="10502" width="0" hidden="1" customWidth="1"/>
    <col min="10503" max="10503" width="19" customWidth="1"/>
    <col min="10504" max="10504" width="0.81640625" customWidth="1"/>
    <col min="10505" max="10507" width="0" hidden="1" customWidth="1"/>
    <col min="10508" max="10508" width="19" customWidth="1"/>
    <col min="10509" max="10509" width="1.453125" customWidth="1"/>
    <col min="10510" max="10528" width="0" hidden="1" customWidth="1"/>
    <col min="10529" max="10529" width="17.1796875" customWidth="1"/>
    <col min="10530" max="10544" width="0" hidden="1" customWidth="1"/>
    <col min="10545" max="10545" width="1.26953125" customWidth="1"/>
    <col min="10546" max="10548" width="0" hidden="1" customWidth="1"/>
    <col min="10549" max="10549" width="19.54296875" customWidth="1"/>
    <col min="10753" max="10753" width="5.1796875" customWidth="1"/>
    <col min="10754" max="10754" width="81" customWidth="1"/>
    <col min="10755" max="10755" width="20.81640625" customWidth="1"/>
    <col min="10756" max="10758" width="0" hidden="1" customWidth="1"/>
    <col min="10759" max="10759" width="19" customWidth="1"/>
    <col min="10760" max="10760" width="0.81640625" customWidth="1"/>
    <col min="10761" max="10763" width="0" hidden="1" customWidth="1"/>
    <col min="10764" max="10764" width="19" customWidth="1"/>
    <col min="10765" max="10765" width="1.453125" customWidth="1"/>
    <col min="10766" max="10784" width="0" hidden="1" customWidth="1"/>
    <col min="10785" max="10785" width="17.1796875" customWidth="1"/>
    <col min="10786" max="10800" width="0" hidden="1" customWidth="1"/>
    <col min="10801" max="10801" width="1.26953125" customWidth="1"/>
    <col min="10802" max="10804" width="0" hidden="1" customWidth="1"/>
    <col min="10805" max="10805" width="19.54296875" customWidth="1"/>
    <col min="11009" max="11009" width="5.1796875" customWidth="1"/>
    <col min="11010" max="11010" width="81" customWidth="1"/>
    <col min="11011" max="11011" width="20.81640625" customWidth="1"/>
    <col min="11012" max="11014" width="0" hidden="1" customWidth="1"/>
    <col min="11015" max="11015" width="19" customWidth="1"/>
    <col min="11016" max="11016" width="0.81640625" customWidth="1"/>
    <col min="11017" max="11019" width="0" hidden="1" customWidth="1"/>
    <col min="11020" max="11020" width="19" customWidth="1"/>
    <col min="11021" max="11021" width="1.453125" customWidth="1"/>
    <col min="11022" max="11040" width="0" hidden="1" customWidth="1"/>
    <col min="11041" max="11041" width="17.1796875" customWidth="1"/>
    <col min="11042" max="11056" width="0" hidden="1" customWidth="1"/>
    <col min="11057" max="11057" width="1.26953125" customWidth="1"/>
    <col min="11058" max="11060" width="0" hidden="1" customWidth="1"/>
    <col min="11061" max="11061" width="19.54296875" customWidth="1"/>
    <col min="11265" max="11265" width="5.1796875" customWidth="1"/>
    <col min="11266" max="11266" width="81" customWidth="1"/>
    <col min="11267" max="11267" width="20.81640625" customWidth="1"/>
    <col min="11268" max="11270" width="0" hidden="1" customWidth="1"/>
    <col min="11271" max="11271" width="19" customWidth="1"/>
    <col min="11272" max="11272" width="0.81640625" customWidth="1"/>
    <col min="11273" max="11275" width="0" hidden="1" customWidth="1"/>
    <col min="11276" max="11276" width="19" customWidth="1"/>
    <col min="11277" max="11277" width="1.453125" customWidth="1"/>
    <col min="11278" max="11296" width="0" hidden="1" customWidth="1"/>
    <col min="11297" max="11297" width="17.1796875" customWidth="1"/>
    <col min="11298" max="11312" width="0" hidden="1" customWidth="1"/>
    <col min="11313" max="11313" width="1.26953125" customWidth="1"/>
    <col min="11314" max="11316" width="0" hidden="1" customWidth="1"/>
    <col min="11317" max="11317" width="19.54296875" customWidth="1"/>
    <col min="11521" max="11521" width="5.1796875" customWidth="1"/>
    <col min="11522" max="11522" width="81" customWidth="1"/>
    <col min="11523" max="11523" width="20.81640625" customWidth="1"/>
    <col min="11524" max="11526" width="0" hidden="1" customWidth="1"/>
    <col min="11527" max="11527" width="19" customWidth="1"/>
    <col min="11528" max="11528" width="0.81640625" customWidth="1"/>
    <col min="11529" max="11531" width="0" hidden="1" customWidth="1"/>
    <col min="11532" max="11532" width="19" customWidth="1"/>
    <col min="11533" max="11533" width="1.453125" customWidth="1"/>
    <col min="11534" max="11552" width="0" hidden="1" customWidth="1"/>
    <col min="11553" max="11553" width="17.1796875" customWidth="1"/>
    <col min="11554" max="11568" width="0" hidden="1" customWidth="1"/>
    <col min="11569" max="11569" width="1.26953125" customWidth="1"/>
    <col min="11570" max="11572" width="0" hidden="1" customWidth="1"/>
    <col min="11573" max="11573" width="19.54296875" customWidth="1"/>
    <col min="11777" max="11777" width="5.1796875" customWidth="1"/>
    <col min="11778" max="11778" width="81" customWidth="1"/>
    <col min="11779" max="11779" width="20.81640625" customWidth="1"/>
    <col min="11780" max="11782" width="0" hidden="1" customWidth="1"/>
    <col min="11783" max="11783" width="19" customWidth="1"/>
    <col min="11784" max="11784" width="0.81640625" customWidth="1"/>
    <col min="11785" max="11787" width="0" hidden="1" customWidth="1"/>
    <col min="11788" max="11788" width="19" customWidth="1"/>
    <col min="11789" max="11789" width="1.453125" customWidth="1"/>
    <col min="11790" max="11808" width="0" hidden="1" customWidth="1"/>
    <col min="11809" max="11809" width="17.1796875" customWidth="1"/>
    <col min="11810" max="11824" width="0" hidden="1" customWidth="1"/>
    <col min="11825" max="11825" width="1.26953125" customWidth="1"/>
    <col min="11826" max="11828" width="0" hidden="1" customWidth="1"/>
    <col min="11829" max="11829" width="19.54296875" customWidth="1"/>
    <col min="12033" max="12033" width="5.1796875" customWidth="1"/>
    <col min="12034" max="12034" width="81" customWidth="1"/>
    <col min="12035" max="12035" width="20.81640625" customWidth="1"/>
    <col min="12036" max="12038" width="0" hidden="1" customWidth="1"/>
    <col min="12039" max="12039" width="19" customWidth="1"/>
    <col min="12040" max="12040" width="0.81640625" customWidth="1"/>
    <col min="12041" max="12043" width="0" hidden="1" customWidth="1"/>
    <col min="12044" max="12044" width="19" customWidth="1"/>
    <col min="12045" max="12045" width="1.453125" customWidth="1"/>
    <col min="12046" max="12064" width="0" hidden="1" customWidth="1"/>
    <col min="12065" max="12065" width="17.1796875" customWidth="1"/>
    <col min="12066" max="12080" width="0" hidden="1" customWidth="1"/>
    <col min="12081" max="12081" width="1.26953125" customWidth="1"/>
    <col min="12082" max="12084" width="0" hidden="1" customWidth="1"/>
    <col min="12085" max="12085" width="19.54296875" customWidth="1"/>
    <col min="12289" max="12289" width="5.1796875" customWidth="1"/>
    <col min="12290" max="12290" width="81" customWidth="1"/>
    <col min="12291" max="12291" width="20.81640625" customWidth="1"/>
    <col min="12292" max="12294" width="0" hidden="1" customWidth="1"/>
    <col min="12295" max="12295" width="19" customWidth="1"/>
    <col min="12296" max="12296" width="0.81640625" customWidth="1"/>
    <col min="12297" max="12299" width="0" hidden="1" customWidth="1"/>
    <col min="12300" max="12300" width="19" customWidth="1"/>
    <col min="12301" max="12301" width="1.453125" customWidth="1"/>
    <col min="12302" max="12320" width="0" hidden="1" customWidth="1"/>
    <col min="12321" max="12321" width="17.1796875" customWidth="1"/>
    <col min="12322" max="12336" width="0" hidden="1" customWidth="1"/>
    <col min="12337" max="12337" width="1.26953125" customWidth="1"/>
    <col min="12338" max="12340" width="0" hidden="1" customWidth="1"/>
    <col min="12341" max="12341" width="19.54296875" customWidth="1"/>
    <col min="12545" max="12545" width="5.1796875" customWidth="1"/>
    <col min="12546" max="12546" width="81" customWidth="1"/>
    <col min="12547" max="12547" width="20.81640625" customWidth="1"/>
    <col min="12548" max="12550" width="0" hidden="1" customWidth="1"/>
    <col min="12551" max="12551" width="19" customWidth="1"/>
    <col min="12552" max="12552" width="0.81640625" customWidth="1"/>
    <col min="12553" max="12555" width="0" hidden="1" customWidth="1"/>
    <col min="12556" max="12556" width="19" customWidth="1"/>
    <col min="12557" max="12557" width="1.453125" customWidth="1"/>
    <col min="12558" max="12576" width="0" hidden="1" customWidth="1"/>
    <col min="12577" max="12577" width="17.1796875" customWidth="1"/>
    <col min="12578" max="12592" width="0" hidden="1" customWidth="1"/>
    <col min="12593" max="12593" width="1.26953125" customWidth="1"/>
    <col min="12594" max="12596" width="0" hidden="1" customWidth="1"/>
    <col min="12597" max="12597" width="19.54296875" customWidth="1"/>
    <col min="12801" max="12801" width="5.1796875" customWidth="1"/>
    <col min="12802" max="12802" width="81" customWidth="1"/>
    <col min="12803" max="12803" width="20.81640625" customWidth="1"/>
    <col min="12804" max="12806" width="0" hidden="1" customWidth="1"/>
    <col min="12807" max="12807" width="19" customWidth="1"/>
    <col min="12808" max="12808" width="0.81640625" customWidth="1"/>
    <col min="12809" max="12811" width="0" hidden="1" customWidth="1"/>
    <col min="12812" max="12812" width="19" customWidth="1"/>
    <col min="12813" max="12813" width="1.453125" customWidth="1"/>
    <col min="12814" max="12832" width="0" hidden="1" customWidth="1"/>
    <col min="12833" max="12833" width="17.1796875" customWidth="1"/>
    <col min="12834" max="12848" width="0" hidden="1" customWidth="1"/>
    <col min="12849" max="12849" width="1.26953125" customWidth="1"/>
    <col min="12850" max="12852" width="0" hidden="1" customWidth="1"/>
    <col min="12853" max="12853" width="19.54296875" customWidth="1"/>
    <col min="13057" max="13057" width="5.1796875" customWidth="1"/>
    <col min="13058" max="13058" width="81" customWidth="1"/>
    <col min="13059" max="13059" width="20.81640625" customWidth="1"/>
    <col min="13060" max="13062" width="0" hidden="1" customWidth="1"/>
    <col min="13063" max="13063" width="19" customWidth="1"/>
    <col min="13064" max="13064" width="0.81640625" customWidth="1"/>
    <col min="13065" max="13067" width="0" hidden="1" customWidth="1"/>
    <col min="13068" max="13068" width="19" customWidth="1"/>
    <col min="13069" max="13069" width="1.453125" customWidth="1"/>
    <col min="13070" max="13088" width="0" hidden="1" customWidth="1"/>
    <col min="13089" max="13089" width="17.1796875" customWidth="1"/>
    <col min="13090" max="13104" width="0" hidden="1" customWidth="1"/>
    <col min="13105" max="13105" width="1.26953125" customWidth="1"/>
    <col min="13106" max="13108" width="0" hidden="1" customWidth="1"/>
    <col min="13109" max="13109" width="19.54296875" customWidth="1"/>
    <col min="13313" max="13313" width="5.1796875" customWidth="1"/>
    <col min="13314" max="13314" width="81" customWidth="1"/>
    <col min="13315" max="13315" width="20.81640625" customWidth="1"/>
    <col min="13316" max="13318" width="0" hidden="1" customWidth="1"/>
    <col min="13319" max="13319" width="19" customWidth="1"/>
    <col min="13320" max="13320" width="0.81640625" customWidth="1"/>
    <col min="13321" max="13323" width="0" hidden="1" customWidth="1"/>
    <col min="13324" max="13324" width="19" customWidth="1"/>
    <col min="13325" max="13325" width="1.453125" customWidth="1"/>
    <col min="13326" max="13344" width="0" hidden="1" customWidth="1"/>
    <col min="13345" max="13345" width="17.1796875" customWidth="1"/>
    <col min="13346" max="13360" width="0" hidden="1" customWidth="1"/>
    <col min="13361" max="13361" width="1.26953125" customWidth="1"/>
    <col min="13362" max="13364" width="0" hidden="1" customWidth="1"/>
    <col min="13365" max="13365" width="19.54296875" customWidth="1"/>
    <col min="13569" max="13569" width="5.1796875" customWidth="1"/>
    <col min="13570" max="13570" width="81" customWidth="1"/>
    <col min="13571" max="13571" width="20.81640625" customWidth="1"/>
    <col min="13572" max="13574" width="0" hidden="1" customWidth="1"/>
    <col min="13575" max="13575" width="19" customWidth="1"/>
    <col min="13576" max="13576" width="0.81640625" customWidth="1"/>
    <col min="13577" max="13579" width="0" hidden="1" customWidth="1"/>
    <col min="13580" max="13580" width="19" customWidth="1"/>
    <col min="13581" max="13581" width="1.453125" customWidth="1"/>
    <col min="13582" max="13600" width="0" hidden="1" customWidth="1"/>
    <col min="13601" max="13601" width="17.1796875" customWidth="1"/>
    <col min="13602" max="13616" width="0" hidden="1" customWidth="1"/>
    <col min="13617" max="13617" width="1.26953125" customWidth="1"/>
    <col min="13618" max="13620" width="0" hidden="1" customWidth="1"/>
    <col min="13621" max="13621" width="19.54296875" customWidth="1"/>
    <col min="13825" max="13825" width="5.1796875" customWidth="1"/>
    <col min="13826" max="13826" width="81" customWidth="1"/>
    <col min="13827" max="13827" width="20.81640625" customWidth="1"/>
    <col min="13828" max="13830" width="0" hidden="1" customWidth="1"/>
    <col min="13831" max="13831" width="19" customWidth="1"/>
    <col min="13832" max="13832" width="0.81640625" customWidth="1"/>
    <col min="13833" max="13835" width="0" hidden="1" customWidth="1"/>
    <col min="13836" max="13836" width="19" customWidth="1"/>
    <col min="13837" max="13837" width="1.453125" customWidth="1"/>
    <col min="13838" max="13856" width="0" hidden="1" customWidth="1"/>
    <col min="13857" max="13857" width="17.1796875" customWidth="1"/>
    <col min="13858" max="13872" width="0" hidden="1" customWidth="1"/>
    <col min="13873" max="13873" width="1.26953125" customWidth="1"/>
    <col min="13874" max="13876" width="0" hidden="1" customWidth="1"/>
    <col min="13877" max="13877" width="19.54296875" customWidth="1"/>
    <col min="14081" max="14081" width="5.1796875" customWidth="1"/>
    <col min="14082" max="14082" width="81" customWidth="1"/>
    <col min="14083" max="14083" width="20.81640625" customWidth="1"/>
    <col min="14084" max="14086" width="0" hidden="1" customWidth="1"/>
    <col min="14087" max="14087" width="19" customWidth="1"/>
    <col min="14088" max="14088" width="0.81640625" customWidth="1"/>
    <col min="14089" max="14091" width="0" hidden="1" customWidth="1"/>
    <col min="14092" max="14092" width="19" customWidth="1"/>
    <col min="14093" max="14093" width="1.453125" customWidth="1"/>
    <col min="14094" max="14112" width="0" hidden="1" customWidth="1"/>
    <col min="14113" max="14113" width="17.1796875" customWidth="1"/>
    <col min="14114" max="14128" width="0" hidden="1" customWidth="1"/>
    <col min="14129" max="14129" width="1.26953125" customWidth="1"/>
    <col min="14130" max="14132" width="0" hidden="1" customWidth="1"/>
    <col min="14133" max="14133" width="19.54296875" customWidth="1"/>
    <col min="14337" max="14337" width="5.1796875" customWidth="1"/>
    <col min="14338" max="14338" width="81" customWidth="1"/>
    <col min="14339" max="14339" width="20.81640625" customWidth="1"/>
    <col min="14340" max="14342" width="0" hidden="1" customWidth="1"/>
    <col min="14343" max="14343" width="19" customWidth="1"/>
    <col min="14344" max="14344" width="0.81640625" customWidth="1"/>
    <col min="14345" max="14347" width="0" hidden="1" customWidth="1"/>
    <col min="14348" max="14348" width="19" customWidth="1"/>
    <col min="14349" max="14349" width="1.453125" customWidth="1"/>
    <col min="14350" max="14368" width="0" hidden="1" customWidth="1"/>
    <col min="14369" max="14369" width="17.1796875" customWidth="1"/>
    <col min="14370" max="14384" width="0" hidden="1" customWidth="1"/>
    <col min="14385" max="14385" width="1.26953125" customWidth="1"/>
    <col min="14386" max="14388" width="0" hidden="1" customWidth="1"/>
    <col min="14389" max="14389" width="19.54296875" customWidth="1"/>
    <col min="14593" max="14593" width="5.1796875" customWidth="1"/>
    <col min="14594" max="14594" width="81" customWidth="1"/>
    <col min="14595" max="14595" width="20.81640625" customWidth="1"/>
    <col min="14596" max="14598" width="0" hidden="1" customWidth="1"/>
    <col min="14599" max="14599" width="19" customWidth="1"/>
    <col min="14600" max="14600" width="0.81640625" customWidth="1"/>
    <col min="14601" max="14603" width="0" hidden="1" customWidth="1"/>
    <col min="14604" max="14604" width="19" customWidth="1"/>
    <col min="14605" max="14605" width="1.453125" customWidth="1"/>
    <col min="14606" max="14624" width="0" hidden="1" customWidth="1"/>
    <col min="14625" max="14625" width="17.1796875" customWidth="1"/>
    <col min="14626" max="14640" width="0" hidden="1" customWidth="1"/>
    <col min="14641" max="14641" width="1.26953125" customWidth="1"/>
    <col min="14642" max="14644" width="0" hidden="1" customWidth="1"/>
    <col min="14645" max="14645" width="19.54296875" customWidth="1"/>
    <col min="14849" max="14849" width="5.1796875" customWidth="1"/>
    <col min="14850" max="14850" width="81" customWidth="1"/>
    <col min="14851" max="14851" width="20.81640625" customWidth="1"/>
    <col min="14852" max="14854" width="0" hidden="1" customWidth="1"/>
    <col min="14855" max="14855" width="19" customWidth="1"/>
    <col min="14856" max="14856" width="0.81640625" customWidth="1"/>
    <col min="14857" max="14859" width="0" hidden="1" customWidth="1"/>
    <col min="14860" max="14860" width="19" customWidth="1"/>
    <col min="14861" max="14861" width="1.453125" customWidth="1"/>
    <col min="14862" max="14880" width="0" hidden="1" customWidth="1"/>
    <col min="14881" max="14881" width="17.1796875" customWidth="1"/>
    <col min="14882" max="14896" width="0" hidden="1" customWidth="1"/>
    <col min="14897" max="14897" width="1.26953125" customWidth="1"/>
    <col min="14898" max="14900" width="0" hidden="1" customWidth="1"/>
    <col min="14901" max="14901" width="19.54296875" customWidth="1"/>
    <col min="15105" max="15105" width="5.1796875" customWidth="1"/>
    <col min="15106" max="15106" width="81" customWidth="1"/>
    <col min="15107" max="15107" width="20.81640625" customWidth="1"/>
    <col min="15108" max="15110" width="0" hidden="1" customWidth="1"/>
    <col min="15111" max="15111" width="19" customWidth="1"/>
    <col min="15112" max="15112" width="0.81640625" customWidth="1"/>
    <col min="15113" max="15115" width="0" hidden="1" customWidth="1"/>
    <col min="15116" max="15116" width="19" customWidth="1"/>
    <col min="15117" max="15117" width="1.453125" customWidth="1"/>
    <col min="15118" max="15136" width="0" hidden="1" customWidth="1"/>
    <col min="15137" max="15137" width="17.1796875" customWidth="1"/>
    <col min="15138" max="15152" width="0" hidden="1" customWidth="1"/>
    <col min="15153" max="15153" width="1.26953125" customWidth="1"/>
    <col min="15154" max="15156" width="0" hidden="1" customWidth="1"/>
    <col min="15157" max="15157" width="19.54296875" customWidth="1"/>
    <col min="15361" max="15361" width="5.1796875" customWidth="1"/>
    <col min="15362" max="15362" width="81" customWidth="1"/>
    <col min="15363" max="15363" width="20.81640625" customWidth="1"/>
    <col min="15364" max="15366" width="0" hidden="1" customWidth="1"/>
    <col min="15367" max="15367" width="19" customWidth="1"/>
    <col min="15368" max="15368" width="0.81640625" customWidth="1"/>
    <col min="15369" max="15371" width="0" hidden="1" customWidth="1"/>
    <col min="15372" max="15372" width="19" customWidth="1"/>
    <col min="15373" max="15373" width="1.453125" customWidth="1"/>
    <col min="15374" max="15392" width="0" hidden="1" customWidth="1"/>
    <col min="15393" max="15393" width="17.1796875" customWidth="1"/>
    <col min="15394" max="15408" width="0" hidden="1" customWidth="1"/>
    <col min="15409" max="15409" width="1.26953125" customWidth="1"/>
    <col min="15410" max="15412" width="0" hidden="1" customWidth="1"/>
    <col min="15413" max="15413" width="19.54296875" customWidth="1"/>
    <col min="15617" max="15617" width="5.1796875" customWidth="1"/>
    <col min="15618" max="15618" width="81" customWidth="1"/>
    <col min="15619" max="15619" width="20.81640625" customWidth="1"/>
    <col min="15620" max="15622" width="0" hidden="1" customWidth="1"/>
    <col min="15623" max="15623" width="19" customWidth="1"/>
    <col min="15624" max="15624" width="0.81640625" customWidth="1"/>
    <col min="15625" max="15627" width="0" hidden="1" customWidth="1"/>
    <col min="15628" max="15628" width="19" customWidth="1"/>
    <col min="15629" max="15629" width="1.453125" customWidth="1"/>
    <col min="15630" max="15648" width="0" hidden="1" customWidth="1"/>
    <col min="15649" max="15649" width="17.1796875" customWidth="1"/>
    <col min="15650" max="15664" width="0" hidden="1" customWidth="1"/>
    <col min="15665" max="15665" width="1.26953125" customWidth="1"/>
    <col min="15666" max="15668" width="0" hidden="1" customWidth="1"/>
    <col min="15669" max="15669" width="19.54296875" customWidth="1"/>
    <col min="15873" max="15873" width="5.1796875" customWidth="1"/>
    <col min="15874" max="15874" width="81" customWidth="1"/>
    <col min="15875" max="15875" width="20.81640625" customWidth="1"/>
    <col min="15876" max="15878" width="0" hidden="1" customWidth="1"/>
    <col min="15879" max="15879" width="19" customWidth="1"/>
    <col min="15880" max="15880" width="0.81640625" customWidth="1"/>
    <col min="15881" max="15883" width="0" hidden="1" customWidth="1"/>
    <col min="15884" max="15884" width="19" customWidth="1"/>
    <col min="15885" max="15885" width="1.453125" customWidth="1"/>
    <col min="15886" max="15904" width="0" hidden="1" customWidth="1"/>
    <col min="15905" max="15905" width="17.1796875" customWidth="1"/>
    <col min="15906" max="15920" width="0" hidden="1" customWidth="1"/>
    <col min="15921" max="15921" width="1.26953125" customWidth="1"/>
    <col min="15922" max="15924" width="0" hidden="1" customWidth="1"/>
    <col min="15925" max="15925" width="19.54296875" customWidth="1"/>
    <col min="16129" max="16129" width="5.1796875" customWidth="1"/>
    <col min="16130" max="16130" width="81" customWidth="1"/>
    <col min="16131" max="16131" width="20.81640625" customWidth="1"/>
    <col min="16132" max="16134" width="0" hidden="1" customWidth="1"/>
    <col min="16135" max="16135" width="19" customWidth="1"/>
    <col min="16136" max="16136" width="0.81640625" customWidth="1"/>
    <col min="16137" max="16139" width="0" hidden="1" customWidth="1"/>
    <col min="16140" max="16140" width="19" customWidth="1"/>
    <col min="16141" max="16141" width="1.453125" customWidth="1"/>
    <col min="16142" max="16160" width="0" hidden="1" customWidth="1"/>
    <col min="16161" max="16161" width="17.1796875" customWidth="1"/>
    <col min="16162" max="16176" width="0" hidden="1" customWidth="1"/>
    <col min="16177" max="16177" width="1.26953125" customWidth="1"/>
    <col min="16178" max="16180" width="0" hidden="1" customWidth="1"/>
    <col min="16181" max="16181" width="19.54296875" customWidth="1"/>
  </cols>
  <sheetData>
    <row r="1" spans="1:55" ht="12" customHeight="1" x14ac:dyDescent="0.35">
      <c r="A1" s="1"/>
      <c r="B1" s="2"/>
      <c r="AD1" s="5"/>
      <c r="BA1" s="10">
        <v>44286</v>
      </c>
    </row>
    <row r="2" spans="1:55" ht="20.25" customHeight="1" x14ac:dyDescent="0.35">
      <c r="A2" s="1"/>
      <c r="B2" s="11" t="s">
        <v>0</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BA2" s="13">
        <v>43976</v>
      </c>
    </row>
    <row r="3" spans="1:55" ht="18.75" customHeight="1" x14ac:dyDescent="0.35">
      <c r="A3" s="1"/>
      <c r="B3" s="11" t="s">
        <v>1</v>
      </c>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55" ht="18.5" x14ac:dyDescent="0.35">
      <c r="A4" s="1"/>
      <c r="B4" s="15" t="s">
        <v>2</v>
      </c>
      <c r="C4" s="16"/>
      <c r="D4" s="16"/>
      <c r="E4" s="16"/>
      <c r="F4" s="16"/>
      <c r="G4" s="16"/>
      <c r="H4" s="16"/>
      <c r="I4" s="16"/>
      <c r="J4" s="16"/>
      <c r="K4" s="16"/>
      <c r="L4" s="16"/>
      <c r="M4" s="16"/>
      <c r="N4" s="16"/>
      <c r="O4" s="16"/>
      <c r="P4" s="16"/>
      <c r="Q4" s="16"/>
      <c r="R4" s="16"/>
      <c r="S4" s="16"/>
      <c r="T4" s="16"/>
      <c r="U4" s="16"/>
      <c r="V4" s="16"/>
      <c r="W4" s="16"/>
      <c r="X4" s="16"/>
      <c r="Y4" s="16"/>
      <c r="Z4" s="16"/>
      <c r="AA4" s="16"/>
      <c r="AB4" s="16"/>
      <c r="AC4" s="17"/>
      <c r="AD4" s="5"/>
      <c r="AG4" s="18">
        <v>813890.74735139962</v>
      </c>
    </row>
    <row r="5" spans="1:55" ht="18.5" x14ac:dyDescent="0.35">
      <c r="A5" s="1"/>
      <c r="B5" s="15"/>
      <c r="C5" s="16"/>
      <c r="D5" s="19" t="s">
        <v>3</v>
      </c>
      <c r="E5" s="20"/>
      <c r="F5" s="20"/>
      <c r="G5" s="20"/>
      <c r="H5" s="20"/>
      <c r="I5" s="20"/>
      <c r="J5" s="20"/>
      <c r="K5" s="20"/>
      <c r="L5" s="20"/>
      <c r="M5" s="20"/>
      <c r="N5" s="20"/>
      <c r="O5" s="20"/>
      <c r="P5" s="20"/>
      <c r="Q5" s="20"/>
      <c r="R5" s="20"/>
      <c r="S5" s="20"/>
      <c r="T5" s="20"/>
      <c r="U5" s="20"/>
      <c r="V5" s="20"/>
      <c r="W5" s="20"/>
      <c r="X5" s="20"/>
      <c r="Y5" s="20"/>
      <c r="Z5" s="20"/>
      <c r="AA5" s="21"/>
      <c r="AB5" s="22"/>
      <c r="AC5" s="19" t="s">
        <v>4</v>
      </c>
      <c r="AD5" s="23"/>
      <c r="AE5" s="23"/>
      <c r="AF5" s="23"/>
      <c r="AG5" s="23"/>
      <c r="AH5" s="23"/>
      <c r="AI5" s="23"/>
      <c r="AJ5" s="23"/>
      <c r="AK5" s="23"/>
      <c r="AL5" s="23"/>
      <c r="AM5" s="23"/>
      <c r="AN5" s="23"/>
      <c r="AO5" s="23"/>
      <c r="AP5" s="23"/>
      <c r="AQ5" s="23"/>
      <c r="AR5" s="23"/>
      <c r="AS5" s="23"/>
      <c r="AT5" s="23"/>
      <c r="AU5" s="23"/>
      <c r="AV5" s="23"/>
      <c r="AW5" s="23"/>
      <c r="AX5" s="23"/>
      <c r="AY5" s="23"/>
      <c r="AZ5" s="23"/>
      <c r="BA5" s="24"/>
    </row>
    <row r="6" spans="1:55" x14ac:dyDescent="0.35">
      <c r="A6" s="25"/>
      <c r="B6" s="26" t="s">
        <v>1</v>
      </c>
      <c r="C6" s="27"/>
      <c r="D6" s="28" t="s">
        <v>5</v>
      </c>
      <c r="E6" s="28"/>
      <c r="F6" s="28"/>
      <c r="G6" s="28"/>
      <c r="H6" s="29"/>
      <c r="I6" s="28" t="s">
        <v>6</v>
      </c>
      <c r="J6" s="28"/>
      <c r="K6" s="28"/>
      <c r="L6" s="28"/>
      <c r="M6" s="30"/>
      <c r="N6" s="28" t="s">
        <v>7</v>
      </c>
      <c r="O6" s="28"/>
      <c r="P6" s="28"/>
      <c r="Q6" s="28"/>
      <c r="R6" s="30"/>
      <c r="S6" s="28" t="s">
        <v>8</v>
      </c>
      <c r="T6" s="28"/>
      <c r="U6" s="28"/>
      <c r="V6" s="28"/>
      <c r="W6" s="30"/>
      <c r="X6" s="28" t="s">
        <v>9</v>
      </c>
      <c r="Y6" s="28"/>
      <c r="Z6" s="28"/>
      <c r="AA6" s="28"/>
      <c r="AB6" s="29"/>
      <c r="AC6" s="31"/>
      <c r="AD6" s="28" t="s">
        <v>10</v>
      </c>
      <c r="AE6" s="28"/>
      <c r="AF6" s="28"/>
      <c r="AG6" s="28"/>
      <c r="AH6" s="32"/>
      <c r="AI6" s="28" t="s">
        <v>11</v>
      </c>
      <c r="AJ6" s="28"/>
      <c r="AK6" s="28"/>
      <c r="AL6" s="28"/>
      <c r="AM6" s="32"/>
      <c r="AN6" s="28" t="s">
        <v>12</v>
      </c>
      <c r="AO6" s="28"/>
      <c r="AP6" s="28"/>
      <c r="AQ6" s="28"/>
      <c r="AR6" s="32"/>
      <c r="AS6" s="28" t="s">
        <v>13</v>
      </c>
      <c r="AT6" s="28"/>
      <c r="AU6" s="28"/>
      <c r="AV6" s="28"/>
      <c r="AW6" s="30"/>
      <c r="AX6" s="28" t="s">
        <v>14</v>
      </c>
      <c r="AY6" s="28"/>
      <c r="AZ6" s="28"/>
      <c r="BA6" s="28"/>
    </row>
    <row r="7" spans="1:55" ht="42.75" customHeight="1" x14ac:dyDescent="0.35">
      <c r="A7" s="22"/>
      <c r="B7" s="33" t="s">
        <v>15</v>
      </c>
      <c r="C7" s="34" t="s">
        <v>16</v>
      </c>
      <c r="D7" s="35" t="s">
        <v>17</v>
      </c>
      <c r="E7" s="36" t="s">
        <v>18</v>
      </c>
      <c r="F7" s="37" t="s">
        <v>19</v>
      </c>
      <c r="G7" s="38" t="s">
        <v>20</v>
      </c>
      <c r="H7" s="34"/>
      <c r="I7" s="35" t="s">
        <v>17</v>
      </c>
      <c r="J7" s="36" t="s">
        <v>18</v>
      </c>
      <c r="K7" s="37" t="s">
        <v>19</v>
      </c>
      <c r="L7" s="38" t="s">
        <v>20</v>
      </c>
      <c r="M7"/>
      <c r="N7" s="35" t="s">
        <v>17</v>
      </c>
      <c r="O7" s="36" t="s">
        <v>18</v>
      </c>
      <c r="P7" s="37" t="s">
        <v>19</v>
      </c>
      <c r="Q7" s="38" t="s">
        <v>20</v>
      </c>
      <c r="R7"/>
      <c r="S7" s="35" t="s">
        <v>17</v>
      </c>
      <c r="T7" s="36" t="s">
        <v>18</v>
      </c>
      <c r="U7" s="37" t="s">
        <v>19</v>
      </c>
      <c r="V7" s="38" t="s">
        <v>20</v>
      </c>
      <c r="W7"/>
      <c r="X7" s="35" t="s">
        <v>17</v>
      </c>
      <c r="Y7" s="36" t="s">
        <v>18</v>
      </c>
      <c r="Z7" s="37" t="s">
        <v>19</v>
      </c>
      <c r="AA7" s="38" t="s">
        <v>20</v>
      </c>
      <c r="AB7" s="34"/>
      <c r="AC7" s="39"/>
      <c r="AD7" s="35" t="s">
        <v>17</v>
      </c>
      <c r="AE7" s="36" t="s">
        <v>18</v>
      </c>
      <c r="AF7" s="37" t="s">
        <v>19</v>
      </c>
      <c r="AG7" s="38" t="s">
        <v>20</v>
      </c>
      <c r="AI7" s="35" t="s">
        <v>17</v>
      </c>
      <c r="AJ7" s="36" t="s">
        <v>18</v>
      </c>
      <c r="AK7" s="37" t="s">
        <v>19</v>
      </c>
      <c r="AL7" s="38" t="s">
        <v>20</v>
      </c>
      <c r="AN7" s="35" t="s">
        <v>17</v>
      </c>
      <c r="AO7" s="36" t="s">
        <v>18</v>
      </c>
      <c r="AP7" s="37" t="s">
        <v>19</v>
      </c>
      <c r="AQ7" s="38" t="s">
        <v>20</v>
      </c>
      <c r="AS7" s="35" t="s">
        <v>17</v>
      </c>
      <c r="AT7" s="36" t="s">
        <v>18</v>
      </c>
      <c r="AU7" s="37" t="s">
        <v>19</v>
      </c>
      <c r="AV7" s="38" t="s">
        <v>20</v>
      </c>
      <c r="AX7" s="35" t="s">
        <v>17</v>
      </c>
      <c r="AY7" s="36" t="s">
        <v>18</v>
      </c>
      <c r="AZ7" s="37" t="s">
        <v>19</v>
      </c>
      <c r="BA7" s="38" t="s">
        <v>20</v>
      </c>
    </row>
    <row r="8" spans="1:55" x14ac:dyDescent="0.35">
      <c r="A8" s="40"/>
      <c r="B8" s="41"/>
      <c r="C8" s="42"/>
      <c r="D8" s="43"/>
      <c r="E8" s="44"/>
      <c r="F8" s="45"/>
      <c r="G8" s="45"/>
      <c r="H8" s="42"/>
      <c r="I8" s="43"/>
      <c r="J8" s="44"/>
      <c r="K8" s="45"/>
      <c r="L8" s="45"/>
      <c r="M8"/>
      <c r="N8" s="43"/>
      <c r="O8" s="44"/>
      <c r="P8" s="45"/>
      <c r="Q8" s="45"/>
      <c r="R8"/>
      <c r="S8" s="43"/>
      <c r="T8" s="44"/>
      <c r="U8" s="45"/>
      <c r="V8" s="45"/>
      <c r="W8"/>
      <c r="X8" s="43"/>
      <c r="Y8" s="44"/>
      <c r="Z8" s="45"/>
      <c r="AA8" s="45"/>
      <c r="AB8" s="42"/>
      <c r="AC8" s="46"/>
      <c r="AD8" s="43"/>
      <c r="AE8" s="44"/>
      <c r="AF8" s="45"/>
      <c r="AG8" s="45"/>
      <c r="AI8" s="43"/>
      <c r="AJ8" s="44"/>
      <c r="AK8" s="45"/>
      <c r="AL8" s="45"/>
      <c r="AN8" s="43"/>
      <c r="AO8" s="44"/>
      <c r="AP8" s="45"/>
      <c r="AQ8" s="45"/>
      <c r="AS8" s="43"/>
      <c r="AT8" s="44"/>
      <c r="AU8" s="45"/>
      <c r="AV8" s="45"/>
      <c r="AX8" s="43"/>
      <c r="AY8" s="44"/>
      <c r="AZ8" s="45"/>
      <c r="BA8" s="45"/>
    </row>
    <row r="9" spans="1:55" ht="15.5" x14ac:dyDescent="0.35">
      <c r="A9" s="47"/>
      <c r="B9" s="48" t="s">
        <v>21</v>
      </c>
      <c r="C9" s="49"/>
      <c r="D9" s="50"/>
      <c r="E9" s="51"/>
      <c r="F9" s="52"/>
      <c r="G9" s="52"/>
      <c r="H9" s="49"/>
      <c r="I9" s="50"/>
      <c r="J9" s="51"/>
      <c r="K9" s="52"/>
      <c r="L9" s="52"/>
      <c r="M9"/>
      <c r="N9" s="50"/>
      <c r="O9" s="51"/>
      <c r="P9" s="52"/>
      <c r="Q9" s="52"/>
      <c r="R9"/>
      <c r="S9" s="50"/>
      <c r="T9" s="51"/>
      <c r="U9" s="52"/>
      <c r="V9" s="52"/>
      <c r="W9"/>
      <c r="X9" s="50"/>
      <c r="Y9" s="51"/>
      <c r="Z9" s="52"/>
      <c r="AA9" s="52"/>
      <c r="AB9" s="49"/>
      <c r="AC9" s="53"/>
      <c r="AD9" s="50"/>
      <c r="AE9" s="51"/>
      <c r="AF9" s="52"/>
      <c r="AG9" s="52"/>
      <c r="AI9" s="50"/>
      <c r="AJ9" s="51"/>
      <c r="AK9" s="52"/>
      <c r="AL9" s="52"/>
      <c r="AN9" s="50"/>
      <c r="AO9" s="51"/>
      <c r="AP9" s="52"/>
      <c r="AQ9" s="52"/>
      <c r="AS9" s="50"/>
      <c r="AT9" s="51"/>
      <c r="AU9" s="52"/>
      <c r="AV9" s="52"/>
      <c r="AX9" s="50"/>
      <c r="AY9" s="51"/>
      <c r="AZ9" s="52"/>
      <c r="BA9" s="52"/>
    </row>
    <row r="10" spans="1:55" x14ac:dyDescent="0.35">
      <c r="A10" s="54"/>
      <c r="B10" s="55"/>
      <c r="C10" s="42"/>
      <c r="D10" s="43"/>
      <c r="E10" s="44"/>
      <c r="F10" s="56"/>
      <c r="G10" s="56"/>
      <c r="H10" s="42"/>
      <c r="I10" s="43"/>
      <c r="J10" s="44"/>
      <c r="K10" s="56"/>
      <c r="L10" s="56"/>
      <c r="M10"/>
      <c r="N10" s="43"/>
      <c r="O10" s="44"/>
      <c r="P10" s="56"/>
      <c r="Q10" s="56"/>
      <c r="R10"/>
      <c r="S10" s="43"/>
      <c r="T10" s="44"/>
      <c r="U10" s="56"/>
      <c r="V10" s="56"/>
      <c r="W10"/>
      <c r="X10" s="43"/>
      <c r="Y10" s="44"/>
      <c r="Z10" s="56"/>
      <c r="AA10" s="56"/>
      <c r="AB10" s="42"/>
      <c r="AC10" s="46"/>
      <c r="AD10" s="43"/>
      <c r="AE10" s="44"/>
      <c r="AF10" s="56"/>
      <c r="AG10" s="56"/>
      <c r="AI10" s="43"/>
      <c r="AJ10" s="44"/>
      <c r="AK10" s="56"/>
      <c r="AL10" s="56"/>
      <c r="AN10" s="43"/>
      <c r="AO10" s="44"/>
      <c r="AP10" s="56"/>
      <c r="AQ10" s="56"/>
      <c r="AS10" s="43"/>
      <c r="AT10" s="44"/>
      <c r="AU10" s="56"/>
      <c r="AV10" s="56"/>
      <c r="AX10" s="43"/>
      <c r="AY10" s="44"/>
      <c r="AZ10" s="56"/>
      <c r="BA10" s="56"/>
    </row>
    <row r="11" spans="1:55" x14ac:dyDescent="0.35">
      <c r="A11" s="57"/>
      <c r="B11" s="58" t="s">
        <v>22</v>
      </c>
      <c r="C11" s="59"/>
      <c r="D11" s="60"/>
      <c r="E11" s="61"/>
      <c r="F11" s="62"/>
      <c r="G11" s="62"/>
      <c r="H11" s="59"/>
      <c r="I11" s="60"/>
      <c r="J11" s="61"/>
      <c r="K11" s="62"/>
      <c r="L11" s="62"/>
      <c r="M11"/>
      <c r="N11" s="60"/>
      <c r="O11" s="61"/>
      <c r="P11" s="62"/>
      <c r="Q11" s="62"/>
      <c r="R11"/>
      <c r="S11" s="60"/>
      <c r="T11" s="61"/>
      <c r="U11" s="62"/>
      <c r="V11" s="62"/>
      <c r="W11"/>
      <c r="X11" s="60"/>
      <c r="Y11" s="61"/>
      <c r="Z11" s="62"/>
      <c r="AA11" s="62"/>
      <c r="AB11" s="59"/>
      <c r="AC11" s="63"/>
      <c r="AD11" s="60"/>
      <c r="AE11" s="61"/>
      <c r="AF11" s="62"/>
      <c r="AG11" s="62"/>
      <c r="AI11" s="60"/>
      <c r="AJ11" s="61"/>
      <c r="AK11" s="62"/>
      <c r="AL11" s="62"/>
      <c r="AN11" s="60"/>
      <c r="AO11" s="61"/>
      <c r="AP11" s="62"/>
      <c r="AQ11" s="62"/>
      <c r="AS11" s="60"/>
      <c r="AT11" s="61"/>
      <c r="AU11" s="62"/>
      <c r="AV11" s="62"/>
      <c r="AX11" s="60"/>
      <c r="AY11" s="61"/>
      <c r="AZ11" s="62"/>
      <c r="BA11" s="62"/>
    </row>
    <row r="12" spans="1:55" x14ac:dyDescent="0.35">
      <c r="A12" s="40"/>
      <c r="B12" s="55"/>
      <c r="C12" s="42"/>
      <c r="D12" s="43"/>
      <c r="E12" s="44"/>
      <c r="F12" s="45"/>
      <c r="G12" s="45"/>
      <c r="H12" s="42"/>
      <c r="I12" s="43"/>
      <c r="J12" s="44"/>
      <c r="K12" s="45"/>
      <c r="L12" s="45"/>
      <c r="M12"/>
      <c r="N12" s="43"/>
      <c r="O12" s="44"/>
      <c r="P12" s="45"/>
      <c r="Q12" s="45"/>
      <c r="R12"/>
      <c r="S12" s="43"/>
      <c r="T12" s="44"/>
      <c r="U12" s="45"/>
      <c r="V12" s="45"/>
      <c r="W12"/>
      <c r="X12" s="43"/>
      <c r="Y12" s="44"/>
      <c r="Z12" s="45"/>
      <c r="AA12" s="45"/>
      <c r="AB12" s="42"/>
      <c r="AC12" s="46"/>
      <c r="AD12" s="43"/>
      <c r="AE12" s="44"/>
      <c r="AF12" s="45"/>
      <c r="AG12" s="45"/>
      <c r="AI12" s="43"/>
      <c r="AJ12" s="44"/>
      <c r="AK12" s="45"/>
      <c r="AL12" s="45"/>
      <c r="AN12" s="43"/>
      <c r="AO12" s="44"/>
      <c r="AP12" s="45"/>
      <c r="AQ12" s="45"/>
      <c r="AS12" s="43"/>
      <c r="AT12" s="44"/>
      <c r="AU12" s="45"/>
      <c r="AV12" s="45"/>
      <c r="AX12" s="43"/>
      <c r="AY12" s="44"/>
      <c r="AZ12" s="45"/>
      <c r="BA12" s="45"/>
    </row>
    <row r="13" spans="1:55" x14ac:dyDescent="0.35">
      <c r="A13" s="40"/>
      <c r="B13" s="64" t="s">
        <v>23</v>
      </c>
      <c r="C13" s="65"/>
      <c r="D13" s="66"/>
      <c r="E13" s="67"/>
      <c r="F13" s="68"/>
      <c r="G13" s="69">
        <v>1734276.0306111288</v>
      </c>
      <c r="H13" s="65"/>
      <c r="I13" s="66"/>
      <c r="J13" s="67"/>
      <c r="K13" s="68"/>
      <c r="L13" s="69">
        <v>540148.63196969149</v>
      </c>
      <c r="M13" s="30"/>
      <c r="N13" s="66"/>
      <c r="O13" s="67"/>
      <c r="P13" s="68"/>
      <c r="Q13" s="69">
        <v>397347.46633868513</v>
      </c>
      <c r="R13" s="30"/>
      <c r="S13" s="66"/>
      <c r="T13" s="67"/>
      <c r="U13" s="68"/>
      <c r="V13" s="69">
        <v>398036.72241319157</v>
      </c>
      <c r="W13" s="30"/>
      <c r="X13" s="66"/>
      <c r="Y13" s="67"/>
      <c r="Z13" s="68"/>
      <c r="AA13" s="69">
        <v>398743.20988956071</v>
      </c>
      <c r="AB13" s="65"/>
      <c r="AC13" s="70"/>
      <c r="AD13" s="66"/>
      <c r="AE13" s="67"/>
      <c r="AF13" s="68"/>
      <c r="AG13" s="69">
        <f>AG14+AG101</f>
        <v>501465.23036117328</v>
      </c>
      <c r="AH13" s="32"/>
      <c r="AI13" s="66"/>
      <c r="AJ13" s="67"/>
      <c r="AK13" s="68"/>
      <c r="AL13" s="69">
        <f>AL14+AL101</f>
        <v>0</v>
      </c>
      <c r="AM13" s="32"/>
      <c r="AN13" s="66"/>
      <c r="AO13" s="67"/>
      <c r="AP13" s="68"/>
      <c r="AQ13" s="69">
        <f>AQ14+AQ101</f>
        <v>0</v>
      </c>
      <c r="AR13" s="32"/>
      <c r="AS13" s="66"/>
      <c r="AT13" s="67"/>
      <c r="AU13" s="68"/>
      <c r="AV13" s="69">
        <f>AV14+AV101</f>
        <v>0</v>
      </c>
      <c r="AW13" s="30"/>
      <c r="AX13" s="66"/>
      <c r="AY13" s="67"/>
      <c r="AZ13" s="68"/>
      <c r="BA13" s="69">
        <f>AG13+AL13+AQ13+AV13</f>
        <v>501465.23036117328</v>
      </c>
      <c r="BB13" s="9"/>
      <c r="BC13" s="9"/>
    </row>
    <row r="14" spans="1:55" x14ac:dyDescent="0.35">
      <c r="A14" s="40"/>
      <c r="B14" s="71" t="s">
        <v>24</v>
      </c>
      <c r="C14" s="42"/>
      <c r="D14" s="43"/>
      <c r="E14" s="44"/>
      <c r="F14" s="45"/>
      <c r="G14" s="72">
        <v>1596028.4807063709</v>
      </c>
      <c r="H14" s="42"/>
      <c r="I14" s="43"/>
      <c r="J14" s="44"/>
      <c r="K14" s="45"/>
      <c r="L14" s="72">
        <v>507010.53219275386</v>
      </c>
      <c r="M14" s="30"/>
      <c r="N14" s="43"/>
      <c r="O14" s="44"/>
      <c r="P14" s="45"/>
      <c r="Q14" s="72">
        <v>363005.98283787235</v>
      </c>
      <c r="R14" s="30"/>
      <c r="S14" s="43"/>
      <c r="T14" s="44"/>
      <c r="U14" s="45"/>
      <c r="V14" s="72">
        <v>363005.98283787235</v>
      </c>
      <c r="W14" s="30"/>
      <c r="X14" s="43"/>
      <c r="Y14" s="44"/>
      <c r="Z14" s="45"/>
      <c r="AA14" s="72">
        <v>363005.98283787235</v>
      </c>
      <c r="AB14" s="42"/>
      <c r="AC14" s="46"/>
      <c r="AD14" s="43"/>
      <c r="AE14" s="44"/>
      <c r="AF14" s="45"/>
      <c r="AG14" s="72">
        <f>AG15+AG41+AG47+AG70+AG98</f>
        <v>464194.53900000005</v>
      </c>
      <c r="AH14" s="32"/>
      <c r="AI14" s="43"/>
      <c r="AJ14" s="44"/>
      <c r="AK14" s="45"/>
      <c r="AL14" s="72">
        <f>AL15+AL41+AL47+AL70+AL98</f>
        <v>0</v>
      </c>
      <c r="AM14" s="32"/>
      <c r="AN14" s="43"/>
      <c r="AO14" s="44"/>
      <c r="AP14" s="45"/>
      <c r="AQ14" s="72">
        <f>AQ15+AQ41+AQ47+AQ70+AQ98</f>
        <v>0</v>
      </c>
      <c r="AR14" s="32"/>
      <c r="AS14" s="43"/>
      <c r="AT14" s="44"/>
      <c r="AU14" s="45"/>
      <c r="AV14" s="72">
        <f>AV15+AV41+AV47+AV70+AV98</f>
        <v>0</v>
      </c>
      <c r="AW14" s="30"/>
      <c r="AX14" s="43"/>
      <c r="AY14" s="44"/>
      <c r="AZ14" s="45"/>
      <c r="BA14" s="72">
        <f>BA15+BA41+BA47+BA70+BA98</f>
        <v>464194.53900000005</v>
      </c>
      <c r="BB14" s="9"/>
    </row>
    <row r="15" spans="1:55" ht="16.5" customHeight="1" x14ac:dyDescent="0.35">
      <c r="A15" s="40"/>
      <c r="B15" s="73" t="s">
        <v>25</v>
      </c>
      <c r="C15" s="74"/>
      <c r="D15" s="75"/>
      <c r="E15" s="76"/>
      <c r="F15" s="77"/>
      <c r="G15" s="78">
        <v>735821.70905165246</v>
      </c>
      <c r="H15" s="74"/>
      <c r="I15" s="75"/>
      <c r="J15" s="76"/>
      <c r="K15" s="77"/>
      <c r="L15" s="78">
        <v>142286.73161556118</v>
      </c>
      <c r="M15" s="30"/>
      <c r="N15" s="75"/>
      <c r="O15" s="76"/>
      <c r="P15" s="77"/>
      <c r="Q15" s="78">
        <v>197844.99247869707</v>
      </c>
      <c r="R15" s="30"/>
      <c r="S15" s="75"/>
      <c r="T15" s="76"/>
      <c r="U15" s="77"/>
      <c r="V15" s="78">
        <v>197844.99247869707</v>
      </c>
      <c r="W15" s="30"/>
      <c r="X15" s="75"/>
      <c r="Y15" s="76"/>
      <c r="Z15" s="77"/>
      <c r="AA15" s="78">
        <v>197844.99247869707</v>
      </c>
      <c r="AB15" s="74"/>
      <c r="AC15" s="46"/>
      <c r="AD15" s="75"/>
      <c r="AE15" s="76"/>
      <c r="AF15" s="77"/>
      <c r="AG15" s="78">
        <f>SUM(AG16:AG39)</f>
        <v>143933.149</v>
      </c>
      <c r="AH15" s="32"/>
      <c r="AI15" s="75"/>
      <c r="AJ15" s="76"/>
      <c r="AK15" s="77"/>
      <c r="AL15" s="78">
        <f>SUM(AL16:AL39)</f>
        <v>0</v>
      </c>
      <c r="AM15" s="32"/>
      <c r="AN15" s="75"/>
      <c r="AO15" s="76"/>
      <c r="AP15" s="77"/>
      <c r="AQ15" s="78">
        <f>SUM(AQ16:AQ39)</f>
        <v>0</v>
      </c>
      <c r="AR15" s="32"/>
      <c r="AS15" s="75"/>
      <c r="AT15" s="76"/>
      <c r="AU15" s="77"/>
      <c r="AV15" s="78">
        <f>SUM(AV16:AV39)</f>
        <v>0</v>
      </c>
      <c r="AW15" s="30"/>
      <c r="AX15" s="75"/>
      <c r="AY15" s="76"/>
      <c r="AZ15" s="77"/>
      <c r="BA15" s="78">
        <f>SUM(BA16:BA39)</f>
        <v>143933.149</v>
      </c>
      <c r="BB15" s="9"/>
    </row>
    <row r="16" spans="1:55" x14ac:dyDescent="0.35">
      <c r="A16" s="40"/>
      <c r="B16" s="79" t="s">
        <v>26</v>
      </c>
      <c r="C16" s="74" t="s">
        <v>27</v>
      </c>
      <c r="D16" s="75" t="s">
        <v>28</v>
      </c>
      <c r="E16" s="76">
        <v>86</v>
      </c>
      <c r="F16" s="80">
        <v>1150</v>
      </c>
      <c r="G16" s="77">
        <v>98900</v>
      </c>
      <c r="H16" s="74"/>
      <c r="I16" s="75" t="s">
        <v>28</v>
      </c>
      <c r="J16" s="81">
        <v>14</v>
      </c>
      <c r="K16" s="80">
        <v>1150</v>
      </c>
      <c r="L16" s="77">
        <v>16100</v>
      </c>
      <c r="M16" s="30"/>
      <c r="N16" s="75" t="s">
        <v>28</v>
      </c>
      <c r="O16" s="81">
        <v>24</v>
      </c>
      <c r="P16" s="80">
        <v>1150</v>
      </c>
      <c r="Q16" s="77">
        <v>27600</v>
      </c>
      <c r="R16" s="30"/>
      <c r="S16" s="75" t="s">
        <v>28</v>
      </c>
      <c r="T16" s="81">
        <v>24</v>
      </c>
      <c r="U16" s="80">
        <v>1150</v>
      </c>
      <c r="V16" s="77">
        <v>27600</v>
      </c>
      <c r="W16" s="30"/>
      <c r="X16" s="75" t="s">
        <v>28</v>
      </c>
      <c r="Y16" s="81">
        <v>24</v>
      </c>
      <c r="Z16" s="80">
        <v>1150</v>
      </c>
      <c r="AA16" s="77">
        <v>27600</v>
      </c>
      <c r="AB16" s="74"/>
      <c r="AC16" s="46"/>
      <c r="AD16" s="75"/>
      <c r="AE16" s="81"/>
      <c r="AF16" s="80"/>
      <c r="AG16" s="77">
        <v>4748.7520000000004</v>
      </c>
      <c r="AH16" s="32"/>
      <c r="AI16" s="75"/>
      <c r="AJ16" s="81"/>
      <c r="AK16" s="80"/>
      <c r="AL16" s="77"/>
      <c r="AM16" s="32"/>
      <c r="AN16" s="75"/>
      <c r="AO16" s="81"/>
      <c r="AP16" s="80"/>
      <c r="AQ16" s="77"/>
      <c r="AR16" s="32"/>
      <c r="AS16" s="75"/>
      <c r="AT16" s="81"/>
      <c r="AU16" s="80"/>
      <c r="AV16" s="77"/>
      <c r="AW16" s="30"/>
      <c r="AX16" s="75"/>
      <c r="AY16" s="76"/>
      <c r="AZ16" s="80"/>
      <c r="BA16" s="77">
        <f>AG16+AL16+AQ16+AV16</f>
        <v>4748.7520000000004</v>
      </c>
      <c r="BB16" s="9"/>
    </row>
    <row r="17" spans="1:54" x14ac:dyDescent="0.35">
      <c r="A17" s="40"/>
      <c r="B17" s="79" t="s">
        <v>29</v>
      </c>
      <c r="C17" s="74" t="s">
        <v>27</v>
      </c>
      <c r="D17" s="75" t="s">
        <v>28</v>
      </c>
      <c r="E17" s="76">
        <v>48</v>
      </c>
      <c r="F17" s="80">
        <v>816.18661666338949</v>
      </c>
      <c r="G17" s="77">
        <v>39176.957599842695</v>
      </c>
      <c r="H17" s="74"/>
      <c r="I17" s="75" t="s">
        <v>28</v>
      </c>
      <c r="J17" s="82">
        <v>12</v>
      </c>
      <c r="K17" s="83">
        <v>816.18661666338949</v>
      </c>
      <c r="L17" s="77">
        <v>9794.2393999606738</v>
      </c>
      <c r="M17" s="30"/>
      <c r="N17" s="75" t="s">
        <v>28</v>
      </c>
      <c r="O17" s="82">
        <v>12</v>
      </c>
      <c r="P17" s="83">
        <v>816.18661666338949</v>
      </c>
      <c r="Q17" s="77">
        <v>9794.2393999606738</v>
      </c>
      <c r="R17" s="30"/>
      <c r="S17" s="75" t="s">
        <v>28</v>
      </c>
      <c r="T17" s="82">
        <v>12</v>
      </c>
      <c r="U17" s="83">
        <v>816.18661666338949</v>
      </c>
      <c r="V17" s="77">
        <v>9794.2393999606738</v>
      </c>
      <c r="W17" s="30"/>
      <c r="X17" s="75" t="s">
        <v>28</v>
      </c>
      <c r="Y17" s="82">
        <v>12</v>
      </c>
      <c r="Z17" s="83">
        <v>816.18661666338949</v>
      </c>
      <c r="AA17" s="77">
        <v>9794.2393999606738</v>
      </c>
      <c r="AB17" s="74"/>
      <c r="AC17" s="46"/>
      <c r="AD17" s="75"/>
      <c r="AE17" s="82"/>
      <c r="AF17" s="83"/>
      <c r="AG17" s="77">
        <v>13317.248</v>
      </c>
      <c r="AH17" s="32"/>
      <c r="AI17" s="75"/>
      <c r="AJ17" s="82"/>
      <c r="AK17" s="83"/>
      <c r="AL17" s="77"/>
      <c r="AM17" s="32"/>
      <c r="AN17" s="75"/>
      <c r="AO17" s="82"/>
      <c r="AP17" s="83"/>
      <c r="AQ17" s="77"/>
      <c r="AR17" s="32"/>
      <c r="AS17" s="75"/>
      <c r="AT17" s="82"/>
      <c r="AU17" s="83"/>
      <c r="AV17" s="77"/>
      <c r="AW17" s="30"/>
      <c r="AX17" s="75"/>
      <c r="AY17" s="76"/>
      <c r="AZ17" s="80"/>
      <c r="BA17" s="77">
        <f t="shared" ref="BA17:BA39" si="0">AG17+AL17+AQ17+AV17</f>
        <v>13317.248</v>
      </c>
      <c r="BB17" s="9"/>
    </row>
    <row r="18" spans="1:54" x14ac:dyDescent="0.35">
      <c r="A18" s="40"/>
      <c r="B18" s="84" t="s">
        <v>30</v>
      </c>
      <c r="C18" s="74" t="s">
        <v>27</v>
      </c>
      <c r="D18" s="75" t="s">
        <v>28</v>
      </c>
      <c r="E18" s="76">
        <v>43</v>
      </c>
      <c r="F18" s="80">
        <v>1150</v>
      </c>
      <c r="G18" s="77">
        <v>49450</v>
      </c>
      <c r="H18" s="74"/>
      <c r="I18" s="75" t="s">
        <v>28</v>
      </c>
      <c r="J18" s="81">
        <v>7</v>
      </c>
      <c r="K18" s="80">
        <v>1150</v>
      </c>
      <c r="L18" s="77">
        <v>8050</v>
      </c>
      <c r="M18" s="30"/>
      <c r="N18" s="75" t="s">
        <v>28</v>
      </c>
      <c r="O18" s="81">
        <v>12</v>
      </c>
      <c r="P18" s="80">
        <v>1150</v>
      </c>
      <c r="Q18" s="77">
        <v>13800</v>
      </c>
      <c r="R18" s="30"/>
      <c r="S18" s="75" t="s">
        <v>28</v>
      </c>
      <c r="T18" s="81">
        <v>12</v>
      </c>
      <c r="U18" s="80">
        <v>1150</v>
      </c>
      <c r="V18" s="77">
        <v>13800</v>
      </c>
      <c r="W18" s="30"/>
      <c r="X18" s="75" t="s">
        <v>28</v>
      </c>
      <c r="Y18" s="81">
        <v>12</v>
      </c>
      <c r="Z18" s="80">
        <v>1150</v>
      </c>
      <c r="AA18" s="77">
        <v>13800</v>
      </c>
      <c r="AB18" s="74"/>
      <c r="AC18" s="46"/>
      <c r="AD18" s="75"/>
      <c r="AE18" s="81"/>
      <c r="AF18" s="80"/>
      <c r="AG18" s="77">
        <v>5295.9439999999986</v>
      </c>
      <c r="AH18" s="32"/>
      <c r="AI18" s="75"/>
      <c r="AJ18" s="81"/>
      <c r="AK18" s="80"/>
      <c r="AL18" s="77"/>
      <c r="AM18" s="32"/>
      <c r="AN18" s="75"/>
      <c r="AO18" s="81"/>
      <c r="AP18" s="80"/>
      <c r="AQ18" s="77"/>
      <c r="AR18" s="32"/>
      <c r="AS18" s="75"/>
      <c r="AT18" s="81"/>
      <c r="AU18" s="80"/>
      <c r="AV18" s="77"/>
      <c r="AW18" s="30"/>
      <c r="AX18" s="75"/>
      <c r="AY18" s="76"/>
      <c r="AZ18" s="80"/>
      <c r="BA18" s="77">
        <f t="shared" si="0"/>
        <v>5295.9439999999986</v>
      </c>
      <c r="BB18" s="9"/>
    </row>
    <row r="19" spans="1:54" x14ac:dyDescent="0.35">
      <c r="A19" s="40"/>
      <c r="B19" s="84" t="s">
        <v>31</v>
      </c>
      <c r="C19" s="74" t="s">
        <v>27</v>
      </c>
      <c r="D19" s="75" t="s">
        <v>28</v>
      </c>
      <c r="E19" s="76">
        <v>86</v>
      </c>
      <c r="F19" s="80">
        <v>816</v>
      </c>
      <c r="G19" s="77">
        <v>70176</v>
      </c>
      <c r="H19" s="74"/>
      <c r="I19" s="75" t="s">
        <v>28</v>
      </c>
      <c r="J19" s="82">
        <v>14</v>
      </c>
      <c r="K19" s="83">
        <v>816</v>
      </c>
      <c r="L19" s="77">
        <v>11424</v>
      </c>
      <c r="M19" s="30"/>
      <c r="N19" s="75" t="s">
        <v>28</v>
      </c>
      <c r="O19" s="82">
        <v>24</v>
      </c>
      <c r="P19" s="83">
        <v>816</v>
      </c>
      <c r="Q19" s="77">
        <v>19584</v>
      </c>
      <c r="R19" s="30"/>
      <c r="S19" s="75" t="s">
        <v>28</v>
      </c>
      <c r="T19" s="82">
        <v>24</v>
      </c>
      <c r="U19" s="83">
        <v>816</v>
      </c>
      <c r="V19" s="77">
        <v>19584</v>
      </c>
      <c r="W19" s="30"/>
      <c r="X19" s="75" t="s">
        <v>28</v>
      </c>
      <c r="Y19" s="82">
        <v>24</v>
      </c>
      <c r="Z19" s="83">
        <v>816</v>
      </c>
      <c r="AA19" s="77">
        <v>19584</v>
      </c>
      <c r="AB19" s="74"/>
      <c r="AC19" s="46"/>
      <c r="AD19" s="75"/>
      <c r="AE19" s="82"/>
      <c r="AF19" s="83"/>
      <c r="AG19" s="77">
        <v>10635.967000000002</v>
      </c>
      <c r="AH19" s="32"/>
      <c r="AI19" s="75"/>
      <c r="AJ19" s="82"/>
      <c r="AK19" s="83"/>
      <c r="AL19" s="77"/>
      <c r="AM19" s="32"/>
      <c r="AN19" s="75"/>
      <c r="AO19" s="82"/>
      <c r="AP19" s="83"/>
      <c r="AQ19" s="77"/>
      <c r="AR19" s="32"/>
      <c r="AS19" s="75"/>
      <c r="AT19" s="82"/>
      <c r="AU19" s="83"/>
      <c r="AV19" s="77"/>
      <c r="AW19" s="30"/>
      <c r="AX19" s="75"/>
      <c r="AY19" s="76"/>
      <c r="AZ19" s="80"/>
      <c r="BA19" s="77">
        <f t="shared" si="0"/>
        <v>10635.967000000002</v>
      </c>
      <c r="BB19" s="9"/>
    </row>
    <row r="20" spans="1:54" x14ac:dyDescent="0.35">
      <c r="A20" s="40"/>
      <c r="B20" s="79" t="s">
        <v>32</v>
      </c>
      <c r="C20" s="74" t="s">
        <v>27</v>
      </c>
      <c r="D20" s="75" t="s">
        <v>28</v>
      </c>
      <c r="E20" s="76">
        <v>45</v>
      </c>
      <c r="F20" s="80">
        <v>1281</v>
      </c>
      <c r="G20" s="77">
        <v>57645</v>
      </c>
      <c r="H20" s="74"/>
      <c r="I20" s="75" t="s">
        <v>28</v>
      </c>
      <c r="J20" s="82">
        <v>9</v>
      </c>
      <c r="K20" s="83">
        <v>1281</v>
      </c>
      <c r="L20" s="77">
        <v>11529</v>
      </c>
      <c r="M20" s="30"/>
      <c r="N20" s="75" t="s">
        <v>28</v>
      </c>
      <c r="O20" s="82">
        <v>12</v>
      </c>
      <c r="P20" s="83">
        <v>1281</v>
      </c>
      <c r="Q20" s="77">
        <v>15372</v>
      </c>
      <c r="R20" s="30"/>
      <c r="S20" s="75" t="s">
        <v>28</v>
      </c>
      <c r="T20" s="82">
        <v>12</v>
      </c>
      <c r="U20" s="83">
        <v>1281</v>
      </c>
      <c r="V20" s="77">
        <v>15372</v>
      </c>
      <c r="W20" s="30"/>
      <c r="X20" s="75" t="s">
        <v>28</v>
      </c>
      <c r="Y20" s="82">
        <v>12</v>
      </c>
      <c r="Z20" s="83">
        <v>1281</v>
      </c>
      <c r="AA20" s="77">
        <v>15372</v>
      </c>
      <c r="AB20" s="74"/>
      <c r="AC20" s="46"/>
      <c r="AD20" s="75"/>
      <c r="AE20" s="82"/>
      <c r="AF20" s="83"/>
      <c r="AG20" s="77">
        <v>12024.831</v>
      </c>
      <c r="AH20" s="32"/>
      <c r="AI20" s="75"/>
      <c r="AJ20" s="82"/>
      <c r="AK20" s="83"/>
      <c r="AL20" s="77"/>
      <c r="AM20" s="32"/>
      <c r="AN20" s="75"/>
      <c r="AO20" s="82"/>
      <c r="AP20" s="83"/>
      <c r="AQ20" s="77"/>
      <c r="AR20" s="32"/>
      <c r="AS20" s="75"/>
      <c r="AT20" s="82"/>
      <c r="AU20" s="83"/>
      <c r="AV20" s="77"/>
      <c r="AW20" s="30"/>
      <c r="AX20" s="75"/>
      <c r="AY20" s="76"/>
      <c r="AZ20" s="80"/>
      <c r="BA20" s="77">
        <f t="shared" si="0"/>
        <v>12024.831</v>
      </c>
      <c r="BB20" s="9"/>
    </row>
    <row r="21" spans="1:54" x14ac:dyDescent="0.35">
      <c r="A21" s="40"/>
      <c r="B21" s="79" t="s">
        <v>33</v>
      </c>
      <c r="C21" s="74" t="s">
        <v>27</v>
      </c>
      <c r="D21" s="75" t="s">
        <v>28</v>
      </c>
      <c r="E21" s="76">
        <v>43</v>
      </c>
      <c r="F21" s="80">
        <v>539.70610878456978</v>
      </c>
      <c r="G21" s="77">
        <v>23207.362677736503</v>
      </c>
      <c r="H21" s="74"/>
      <c r="I21" s="75" t="s">
        <v>28</v>
      </c>
      <c r="J21" s="82">
        <v>7</v>
      </c>
      <c r="K21" s="83">
        <v>539.70610878456978</v>
      </c>
      <c r="L21" s="77">
        <v>3777.9427614919887</v>
      </c>
      <c r="M21" s="30"/>
      <c r="N21" s="75" t="s">
        <v>28</v>
      </c>
      <c r="O21" s="82">
        <v>12</v>
      </c>
      <c r="P21" s="83">
        <v>539.70610878456978</v>
      </c>
      <c r="Q21" s="77">
        <v>6476.4733054148373</v>
      </c>
      <c r="R21" s="30"/>
      <c r="S21" s="75" t="s">
        <v>28</v>
      </c>
      <c r="T21" s="82">
        <v>12</v>
      </c>
      <c r="U21" s="83">
        <v>539.70610878456978</v>
      </c>
      <c r="V21" s="77">
        <v>6476.4733054148373</v>
      </c>
      <c r="W21" s="30"/>
      <c r="X21" s="75" t="s">
        <v>28</v>
      </c>
      <c r="Y21" s="82">
        <v>12</v>
      </c>
      <c r="Z21" s="83">
        <v>539.70610878456978</v>
      </c>
      <c r="AA21" s="77">
        <v>6476.4733054148373</v>
      </c>
      <c r="AB21" s="74"/>
      <c r="AC21" s="46"/>
      <c r="AD21" s="75"/>
      <c r="AE21" s="82"/>
      <c r="AF21" s="83"/>
      <c r="AG21" s="77">
        <v>2739.6790000000005</v>
      </c>
      <c r="AH21" s="32"/>
      <c r="AI21" s="75"/>
      <c r="AJ21" s="82"/>
      <c r="AK21" s="83"/>
      <c r="AL21" s="77"/>
      <c r="AM21" s="32"/>
      <c r="AN21" s="75"/>
      <c r="AO21" s="82"/>
      <c r="AP21" s="83"/>
      <c r="AQ21" s="77"/>
      <c r="AR21" s="32"/>
      <c r="AS21" s="75"/>
      <c r="AT21" s="82"/>
      <c r="AU21" s="83"/>
      <c r="AV21" s="77"/>
      <c r="AW21" s="30"/>
      <c r="AX21" s="75"/>
      <c r="AY21" s="76"/>
      <c r="AZ21" s="80"/>
      <c r="BA21" s="77">
        <f t="shared" si="0"/>
        <v>2739.6790000000005</v>
      </c>
      <c r="BB21" s="9"/>
    </row>
    <row r="22" spans="1:54" x14ac:dyDescent="0.35">
      <c r="A22" s="40"/>
      <c r="B22" s="79" t="s">
        <v>34</v>
      </c>
      <c r="C22" s="74" t="s">
        <v>35</v>
      </c>
      <c r="D22" s="75" t="s">
        <v>28</v>
      </c>
      <c r="E22" s="76">
        <v>126</v>
      </c>
      <c r="F22" s="80">
        <v>686.02057756834688</v>
      </c>
      <c r="G22" s="77">
        <v>86438.592773611701</v>
      </c>
      <c r="H22" s="74"/>
      <c r="I22" s="75" t="s">
        <v>28</v>
      </c>
      <c r="J22" s="82">
        <v>18</v>
      </c>
      <c r="K22" s="83">
        <v>686.02057756834677</v>
      </c>
      <c r="L22" s="77">
        <v>12348.370396230242</v>
      </c>
      <c r="M22" s="30"/>
      <c r="N22" s="75" t="s">
        <v>28</v>
      </c>
      <c r="O22" s="82">
        <v>36</v>
      </c>
      <c r="P22" s="83">
        <v>686.02057756834677</v>
      </c>
      <c r="Q22" s="77">
        <v>24696.740792460485</v>
      </c>
      <c r="R22" s="30"/>
      <c r="S22" s="75" t="s">
        <v>28</v>
      </c>
      <c r="T22" s="82">
        <v>36</v>
      </c>
      <c r="U22" s="83">
        <v>686.02057756834677</v>
      </c>
      <c r="V22" s="77">
        <v>24696.740792460485</v>
      </c>
      <c r="W22" s="30"/>
      <c r="X22" s="75" t="s">
        <v>28</v>
      </c>
      <c r="Y22" s="82">
        <v>36</v>
      </c>
      <c r="Z22" s="83">
        <v>686.02057756834677</v>
      </c>
      <c r="AA22" s="77">
        <v>24696.740792460485</v>
      </c>
      <c r="AB22" s="74"/>
      <c r="AC22" s="46"/>
      <c r="AD22" s="75"/>
      <c r="AE22" s="82"/>
      <c r="AF22" s="83"/>
      <c r="AG22" s="77">
        <v>11403.208999999999</v>
      </c>
      <c r="AH22" s="32"/>
      <c r="AI22" s="75"/>
      <c r="AJ22" s="82"/>
      <c r="AK22" s="83"/>
      <c r="AL22" s="77"/>
      <c r="AM22" s="32"/>
      <c r="AN22" s="75"/>
      <c r="AO22" s="82"/>
      <c r="AP22" s="83"/>
      <c r="AQ22" s="77"/>
      <c r="AR22" s="32"/>
      <c r="AS22" s="75"/>
      <c r="AT22" s="82"/>
      <c r="AU22" s="83"/>
      <c r="AV22" s="77"/>
      <c r="AW22" s="30"/>
      <c r="AX22" s="75"/>
      <c r="AY22" s="76"/>
      <c r="AZ22" s="80"/>
      <c r="BA22" s="77">
        <f t="shared" si="0"/>
        <v>11403.208999999999</v>
      </c>
      <c r="BB22" s="9"/>
    </row>
    <row r="23" spans="1:54" x14ac:dyDescent="0.35">
      <c r="A23" s="40"/>
      <c r="B23" s="79" t="s">
        <v>36</v>
      </c>
      <c r="C23" s="74" t="s">
        <v>35</v>
      </c>
      <c r="D23" s="75" t="s">
        <v>28</v>
      </c>
      <c r="E23" s="76">
        <v>123</v>
      </c>
      <c r="F23" s="80">
        <v>381.12254309352596</v>
      </c>
      <c r="G23" s="77">
        <v>46878.072800503694</v>
      </c>
      <c r="H23" s="74"/>
      <c r="I23" s="75" t="s">
        <v>28</v>
      </c>
      <c r="J23" s="82">
        <v>15</v>
      </c>
      <c r="K23" s="83">
        <v>381.12254309352596</v>
      </c>
      <c r="L23" s="77">
        <v>5716.8381464028898</v>
      </c>
      <c r="M23" s="30"/>
      <c r="N23" s="75" t="s">
        <v>28</v>
      </c>
      <c r="O23" s="82">
        <v>36</v>
      </c>
      <c r="P23" s="83">
        <v>381.12254309352596</v>
      </c>
      <c r="Q23" s="77">
        <v>13720.411551366935</v>
      </c>
      <c r="R23" s="30"/>
      <c r="S23" s="75" t="s">
        <v>28</v>
      </c>
      <c r="T23" s="82">
        <v>36</v>
      </c>
      <c r="U23" s="83">
        <v>381.12254309352596</v>
      </c>
      <c r="V23" s="77">
        <v>13720.411551366935</v>
      </c>
      <c r="W23" s="30"/>
      <c r="X23" s="75" t="s">
        <v>28</v>
      </c>
      <c r="Y23" s="82">
        <v>36</v>
      </c>
      <c r="Z23" s="83">
        <v>381.12254309352596</v>
      </c>
      <c r="AA23" s="77">
        <v>13720.411551366935</v>
      </c>
      <c r="AB23" s="74"/>
      <c r="AC23" s="46"/>
      <c r="AD23" s="75"/>
      <c r="AE23" s="82"/>
      <c r="AF23" s="83"/>
      <c r="AG23" s="77">
        <v>6313.8630000000003</v>
      </c>
      <c r="AH23" s="32"/>
      <c r="AI23" s="75"/>
      <c r="AJ23" s="82"/>
      <c r="AK23" s="83"/>
      <c r="AL23" s="77"/>
      <c r="AM23" s="32"/>
      <c r="AN23" s="75"/>
      <c r="AO23" s="82"/>
      <c r="AP23" s="83"/>
      <c r="AQ23" s="77"/>
      <c r="AR23" s="32"/>
      <c r="AS23" s="75"/>
      <c r="AT23" s="82"/>
      <c r="AU23" s="83"/>
      <c r="AV23" s="77"/>
      <c r="AW23" s="30"/>
      <c r="AX23" s="75"/>
      <c r="AY23" s="76"/>
      <c r="AZ23" s="80"/>
      <c r="BA23" s="77">
        <f t="shared" si="0"/>
        <v>6313.8630000000003</v>
      </c>
      <c r="BB23" s="9"/>
    </row>
    <row r="24" spans="1:54" x14ac:dyDescent="0.35">
      <c r="A24" s="40"/>
      <c r="B24" s="79" t="s">
        <v>37</v>
      </c>
      <c r="C24" s="74" t="s">
        <v>35</v>
      </c>
      <c r="D24" s="75" t="s">
        <v>28</v>
      </c>
      <c r="E24" s="76">
        <v>129</v>
      </c>
      <c r="F24" s="80">
        <v>266.78578016546817</v>
      </c>
      <c r="G24" s="77">
        <v>34415.365641345394</v>
      </c>
      <c r="H24" s="74"/>
      <c r="I24" s="75" t="s">
        <v>28</v>
      </c>
      <c r="J24" s="82">
        <v>21</v>
      </c>
      <c r="K24" s="83">
        <v>266.78578016546817</v>
      </c>
      <c r="L24" s="77">
        <v>5602.5013834748315</v>
      </c>
      <c r="M24" s="30"/>
      <c r="N24" s="75" t="s">
        <v>28</v>
      </c>
      <c r="O24" s="82">
        <v>36</v>
      </c>
      <c r="P24" s="83">
        <v>266.78578016546817</v>
      </c>
      <c r="Q24" s="77">
        <v>9604.288085956854</v>
      </c>
      <c r="R24" s="30"/>
      <c r="S24" s="75" t="s">
        <v>28</v>
      </c>
      <c r="T24" s="82">
        <v>36</v>
      </c>
      <c r="U24" s="83">
        <v>266.78578016546817</v>
      </c>
      <c r="V24" s="77">
        <v>9604.288085956854</v>
      </c>
      <c r="W24" s="30"/>
      <c r="X24" s="75" t="s">
        <v>28</v>
      </c>
      <c r="Y24" s="82">
        <v>36</v>
      </c>
      <c r="Z24" s="83">
        <v>266.78578016546817</v>
      </c>
      <c r="AA24" s="77">
        <v>9604.288085956854</v>
      </c>
      <c r="AB24" s="74"/>
      <c r="AC24" s="46"/>
      <c r="AD24" s="75"/>
      <c r="AE24" s="82"/>
      <c r="AF24" s="83"/>
      <c r="AG24" s="77">
        <v>4875.3720000000012</v>
      </c>
      <c r="AH24" s="32"/>
      <c r="AI24" s="75"/>
      <c r="AJ24" s="82"/>
      <c r="AK24" s="83"/>
      <c r="AL24" s="77"/>
      <c r="AM24" s="32"/>
      <c r="AN24" s="75"/>
      <c r="AO24" s="82"/>
      <c r="AP24" s="83"/>
      <c r="AQ24" s="77"/>
      <c r="AR24" s="32"/>
      <c r="AS24" s="75"/>
      <c r="AT24" s="82"/>
      <c r="AU24" s="83"/>
      <c r="AV24" s="77"/>
      <c r="AW24" s="30"/>
      <c r="AX24" s="75"/>
      <c r="AY24" s="76"/>
      <c r="AZ24" s="80"/>
      <c r="BA24" s="77">
        <f t="shared" si="0"/>
        <v>4875.3720000000012</v>
      </c>
      <c r="BB24" s="9"/>
    </row>
    <row r="25" spans="1:54" x14ac:dyDescent="0.35">
      <c r="A25" s="40"/>
      <c r="B25" s="85" t="s">
        <v>38</v>
      </c>
      <c r="C25" s="74" t="s">
        <v>27</v>
      </c>
      <c r="D25" s="75" t="s">
        <v>28</v>
      </c>
      <c r="E25" s="76">
        <v>48</v>
      </c>
      <c r="F25" s="80">
        <v>398.1968330241159</v>
      </c>
      <c r="G25" s="77">
        <v>19113.447985157563</v>
      </c>
      <c r="H25" s="74"/>
      <c r="I25" s="75" t="s">
        <v>28</v>
      </c>
      <c r="J25" s="82">
        <v>12</v>
      </c>
      <c r="K25" s="83">
        <v>398.1968330241159</v>
      </c>
      <c r="L25" s="77">
        <v>4778.3619962893908</v>
      </c>
      <c r="M25" s="30"/>
      <c r="N25" s="75" t="s">
        <v>28</v>
      </c>
      <c r="O25" s="82">
        <v>12</v>
      </c>
      <c r="P25" s="83">
        <v>398.1968330241159</v>
      </c>
      <c r="Q25" s="77">
        <v>4778.3619962893908</v>
      </c>
      <c r="R25" s="30"/>
      <c r="S25" s="75" t="s">
        <v>28</v>
      </c>
      <c r="T25" s="82">
        <v>12</v>
      </c>
      <c r="U25" s="83">
        <v>398.1968330241159</v>
      </c>
      <c r="V25" s="77">
        <v>4778.3619962893908</v>
      </c>
      <c r="W25" s="30"/>
      <c r="X25" s="75" t="s">
        <v>28</v>
      </c>
      <c r="Y25" s="82">
        <v>12</v>
      </c>
      <c r="Z25" s="83">
        <v>398.1968330241159</v>
      </c>
      <c r="AA25" s="77">
        <v>4778.3619962893908</v>
      </c>
      <c r="AB25" s="74"/>
      <c r="AC25" s="46"/>
      <c r="AD25" s="75"/>
      <c r="AE25" s="82"/>
      <c r="AF25" s="83"/>
      <c r="AG25" s="77">
        <v>3503.4840000000022</v>
      </c>
      <c r="AH25" s="32"/>
      <c r="AI25" s="75"/>
      <c r="AJ25" s="82"/>
      <c r="AK25" s="83"/>
      <c r="AL25" s="77"/>
      <c r="AM25" s="32"/>
      <c r="AN25" s="75"/>
      <c r="AO25" s="82"/>
      <c r="AP25" s="83"/>
      <c r="AQ25" s="77"/>
      <c r="AR25" s="32"/>
      <c r="AS25" s="75"/>
      <c r="AT25" s="82"/>
      <c r="AU25" s="83"/>
      <c r="AV25" s="77"/>
      <c r="AW25" s="30"/>
      <c r="AX25" s="75"/>
      <c r="AY25" s="76"/>
      <c r="AZ25" s="80"/>
      <c r="BA25" s="77">
        <f t="shared" si="0"/>
        <v>3503.4840000000022</v>
      </c>
      <c r="BB25" s="9"/>
    </row>
    <row r="26" spans="1:54" x14ac:dyDescent="0.35">
      <c r="A26" s="40"/>
      <c r="B26" s="85" t="s">
        <v>39</v>
      </c>
      <c r="C26" s="74" t="s">
        <v>27</v>
      </c>
      <c r="D26" s="75" t="s">
        <v>28</v>
      </c>
      <c r="E26" s="76">
        <v>48</v>
      </c>
      <c r="F26" s="80">
        <v>398.1968330241159</v>
      </c>
      <c r="G26" s="77">
        <v>19113.447985157563</v>
      </c>
      <c r="H26" s="74"/>
      <c r="I26" s="75" t="s">
        <v>28</v>
      </c>
      <c r="J26" s="82">
        <v>12</v>
      </c>
      <c r="K26" s="83">
        <v>398.1968330241159</v>
      </c>
      <c r="L26" s="77">
        <v>4778.3619962893908</v>
      </c>
      <c r="M26" s="30"/>
      <c r="N26" s="75" t="s">
        <v>28</v>
      </c>
      <c r="O26" s="82">
        <v>12</v>
      </c>
      <c r="P26" s="83">
        <v>398.1968330241159</v>
      </c>
      <c r="Q26" s="77">
        <v>4778.3619962893908</v>
      </c>
      <c r="R26" s="30"/>
      <c r="S26" s="75" t="s">
        <v>28</v>
      </c>
      <c r="T26" s="82">
        <v>12</v>
      </c>
      <c r="U26" s="83">
        <v>398.1968330241159</v>
      </c>
      <c r="V26" s="77">
        <v>4778.3619962893908</v>
      </c>
      <c r="W26" s="30"/>
      <c r="X26" s="75" t="s">
        <v>28</v>
      </c>
      <c r="Y26" s="82">
        <v>12</v>
      </c>
      <c r="Z26" s="83">
        <v>398.1968330241159</v>
      </c>
      <c r="AA26" s="77">
        <v>4778.3619962893908</v>
      </c>
      <c r="AB26" s="74"/>
      <c r="AC26" s="46"/>
      <c r="AD26" s="75"/>
      <c r="AE26" s="82"/>
      <c r="AF26" s="83"/>
      <c r="AG26" s="77">
        <v>8245.8729999999978</v>
      </c>
      <c r="AH26" s="32"/>
      <c r="AI26" s="75"/>
      <c r="AJ26" s="82"/>
      <c r="AK26" s="83"/>
      <c r="AL26" s="77"/>
      <c r="AM26" s="32"/>
      <c r="AN26" s="75"/>
      <c r="AO26" s="82"/>
      <c r="AP26" s="83"/>
      <c r="AQ26" s="77"/>
      <c r="AR26" s="32"/>
      <c r="AS26" s="75"/>
      <c r="AT26" s="82"/>
      <c r="AU26" s="83"/>
      <c r="AV26" s="77"/>
      <c r="AW26" s="30"/>
      <c r="AX26" s="75"/>
      <c r="AY26" s="76"/>
      <c r="AZ26" s="80"/>
      <c r="BA26" s="77">
        <f t="shared" si="0"/>
        <v>8245.8729999999978</v>
      </c>
      <c r="BB26" s="9"/>
    </row>
    <row r="27" spans="1:54" x14ac:dyDescent="0.35">
      <c r="A27" s="40"/>
      <c r="B27" s="85" t="s">
        <v>40</v>
      </c>
      <c r="C27" s="74" t="s">
        <v>27</v>
      </c>
      <c r="D27" s="75" t="s">
        <v>28</v>
      </c>
      <c r="E27" s="76">
        <v>48</v>
      </c>
      <c r="F27" s="80">
        <v>162.68</v>
      </c>
      <c r="G27" s="77">
        <v>7808.64</v>
      </c>
      <c r="H27" s="74"/>
      <c r="I27" s="75" t="s">
        <v>28</v>
      </c>
      <c r="J27" s="82">
        <v>12</v>
      </c>
      <c r="K27" s="83">
        <v>162.68</v>
      </c>
      <c r="L27" s="77">
        <v>1952.16</v>
      </c>
      <c r="M27" s="30"/>
      <c r="N27" s="75" t="s">
        <v>28</v>
      </c>
      <c r="O27" s="82">
        <v>12</v>
      </c>
      <c r="P27" s="83">
        <v>162.68</v>
      </c>
      <c r="Q27" s="77">
        <v>1952.16</v>
      </c>
      <c r="R27" s="30"/>
      <c r="S27" s="75" t="s">
        <v>28</v>
      </c>
      <c r="T27" s="82">
        <v>12</v>
      </c>
      <c r="U27" s="83">
        <v>162.68</v>
      </c>
      <c r="V27" s="77">
        <v>1952.16</v>
      </c>
      <c r="W27" s="30"/>
      <c r="X27" s="75" t="s">
        <v>28</v>
      </c>
      <c r="Y27" s="82">
        <v>12</v>
      </c>
      <c r="Z27" s="83">
        <v>162.68</v>
      </c>
      <c r="AA27" s="77">
        <v>1952.16</v>
      </c>
      <c r="AB27" s="74"/>
      <c r="AC27" s="46"/>
      <c r="AD27" s="75"/>
      <c r="AE27" s="82"/>
      <c r="AF27" s="83"/>
      <c r="AG27" s="77">
        <v>735.89999999999986</v>
      </c>
      <c r="AH27" s="32"/>
      <c r="AI27" s="75"/>
      <c r="AJ27" s="82"/>
      <c r="AK27" s="83"/>
      <c r="AL27" s="77"/>
      <c r="AM27" s="32"/>
      <c r="AN27" s="75"/>
      <c r="AO27" s="82"/>
      <c r="AP27" s="83"/>
      <c r="AQ27" s="77"/>
      <c r="AR27" s="32"/>
      <c r="AS27" s="75"/>
      <c r="AT27" s="82"/>
      <c r="AU27" s="83"/>
      <c r="AV27" s="77"/>
      <c r="AW27" s="30"/>
      <c r="AX27" s="75"/>
      <c r="AY27" s="76"/>
      <c r="AZ27" s="80"/>
      <c r="BA27" s="77">
        <f t="shared" si="0"/>
        <v>735.89999999999986</v>
      </c>
      <c r="BB27" s="9"/>
    </row>
    <row r="28" spans="1:54" x14ac:dyDescent="0.35">
      <c r="A28" s="40"/>
      <c r="B28" s="85" t="s">
        <v>41</v>
      </c>
      <c r="C28" s="74" t="s">
        <v>27</v>
      </c>
      <c r="D28" s="75" t="s">
        <v>28</v>
      </c>
      <c r="E28" s="76">
        <v>96</v>
      </c>
      <c r="F28" s="80">
        <v>107.85444777630239</v>
      </c>
      <c r="G28" s="77">
        <v>10354.02698652503</v>
      </c>
      <c r="H28" s="74"/>
      <c r="I28" s="75" t="s">
        <v>28</v>
      </c>
      <c r="J28" s="82">
        <v>24</v>
      </c>
      <c r="K28" s="83">
        <v>107.85444777630241</v>
      </c>
      <c r="L28" s="77">
        <v>2588.5067466312576</v>
      </c>
      <c r="M28" s="30"/>
      <c r="N28" s="75" t="s">
        <v>28</v>
      </c>
      <c r="O28" s="82">
        <v>24</v>
      </c>
      <c r="P28" s="83">
        <v>107.85444777630241</v>
      </c>
      <c r="Q28" s="77">
        <v>2588.5067466312576</v>
      </c>
      <c r="R28" s="30"/>
      <c r="S28" s="75" t="s">
        <v>28</v>
      </c>
      <c r="T28" s="82">
        <v>24</v>
      </c>
      <c r="U28" s="83">
        <v>107.85444777630241</v>
      </c>
      <c r="V28" s="77">
        <v>2588.5067466312576</v>
      </c>
      <c r="W28" s="30"/>
      <c r="X28" s="75" t="s">
        <v>28</v>
      </c>
      <c r="Y28" s="82">
        <v>24</v>
      </c>
      <c r="Z28" s="83">
        <v>107.85444777630241</v>
      </c>
      <c r="AA28" s="77">
        <v>2588.5067466312576</v>
      </c>
      <c r="AB28" s="74"/>
      <c r="AC28" s="46"/>
      <c r="AD28" s="75"/>
      <c r="AE28" s="82"/>
      <c r="AF28" s="83"/>
      <c r="AG28" s="77">
        <v>2711.1259999999984</v>
      </c>
      <c r="AH28" s="32"/>
      <c r="AI28" s="75"/>
      <c r="AJ28" s="82"/>
      <c r="AK28" s="83"/>
      <c r="AL28" s="77"/>
      <c r="AM28" s="32"/>
      <c r="AN28" s="75"/>
      <c r="AO28" s="82"/>
      <c r="AP28" s="83"/>
      <c r="AQ28" s="77"/>
      <c r="AR28" s="32"/>
      <c r="AS28" s="75"/>
      <c r="AT28" s="82"/>
      <c r="AU28" s="83"/>
      <c r="AV28" s="77"/>
      <c r="AW28" s="30"/>
      <c r="AX28" s="75"/>
      <c r="AY28" s="76"/>
      <c r="AZ28" s="80"/>
      <c r="BA28" s="77">
        <f t="shared" si="0"/>
        <v>2711.1259999999984</v>
      </c>
      <c r="BB28" s="9"/>
    </row>
    <row r="29" spans="1:54" x14ac:dyDescent="0.35">
      <c r="A29" s="40"/>
      <c r="B29" s="85" t="s">
        <v>42</v>
      </c>
      <c r="C29" s="74" t="s">
        <v>27</v>
      </c>
      <c r="D29" s="75" t="s">
        <v>28</v>
      </c>
      <c r="E29" s="76">
        <v>96</v>
      </c>
      <c r="F29" s="80">
        <v>78.053896825554119</v>
      </c>
      <c r="G29" s="77">
        <v>7493.1740952531954</v>
      </c>
      <c r="H29" s="74"/>
      <c r="I29" s="75" t="s">
        <v>28</v>
      </c>
      <c r="J29" s="82">
        <v>24</v>
      </c>
      <c r="K29" s="83">
        <v>78.053896825554119</v>
      </c>
      <c r="L29" s="77">
        <v>1873.2935238132989</v>
      </c>
      <c r="M29" s="30"/>
      <c r="N29" s="75" t="s">
        <v>28</v>
      </c>
      <c r="O29" s="82">
        <v>24</v>
      </c>
      <c r="P29" s="83">
        <v>78.053896825554119</v>
      </c>
      <c r="Q29" s="77">
        <v>1873.2935238132989</v>
      </c>
      <c r="R29" s="30"/>
      <c r="S29" s="75" t="s">
        <v>28</v>
      </c>
      <c r="T29" s="82">
        <v>24</v>
      </c>
      <c r="U29" s="83">
        <v>78.053896825554119</v>
      </c>
      <c r="V29" s="77">
        <v>1873.2935238132989</v>
      </c>
      <c r="W29" s="30"/>
      <c r="X29" s="75" t="s">
        <v>28</v>
      </c>
      <c r="Y29" s="82">
        <v>24</v>
      </c>
      <c r="Z29" s="83">
        <v>78.053896825554119</v>
      </c>
      <c r="AA29" s="77">
        <v>1873.2935238132989</v>
      </c>
      <c r="AB29" s="74"/>
      <c r="AC29" s="46"/>
      <c r="AD29" s="75"/>
      <c r="AE29" s="82"/>
      <c r="AF29" s="83"/>
      <c r="AG29" s="77">
        <v>4392.0400000000009</v>
      </c>
      <c r="AH29" s="32"/>
      <c r="AI29" s="75"/>
      <c r="AJ29" s="82"/>
      <c r="AK29" s="83"/>
      <c r="AL29" s="77"/>
      <c r="AM29" s="32"/>
      <c r="AN29" s="75"/>
      <c r="AO29" s="82"/>
      <c r="AP29" s="83"/>
      <c r="AQ29" s="77"/>
      <c r="AR29" s="32"/>
      <c r="AS29" s="75"/>
      <c r="AT29" s="82"/>
      <c r="AU29" s="83"/>
      <c r="AV29" s="77"/>
      <c r="AW29" s="30"/>
      <c r="AX29" s="75"/>
      <c r="AY29" s="76"/>
      <c r="AZ29" s="80"/>
      <c r="BA29" s="77">
        <f t="shared" si="0"/>
        <v>4392.0400000000009</v>
      </c>
      <c r="BB29" s="9"/>
    </row>
    <row r="30" spans="1:54" x14ac:dyDescent="0.35">
      <c r="A30" s="40"/>
      <c r="B30" s="85" t="s">
        <v>43</v>
      </c>
      <c r="C30" s="74" t="s">
        <v>27</v>
      </c>
      <c r="D30" s="75" t="s">
        <v>28</v>
      </c>
      <c r="E30" s="76">
        <v>96</v>
      </c>
      <c r="F30" s="80">
        <v>71.571276775764261</v>
      </c>
      <c r="G30" s="77">
        <v>6870.8425704733691</v>
      </c>
      <c r="H30" s="74"/>
      <c r="I30" s="75" t="s">
        <v>28</v>
      </c>
      <c r="J30" s="82">
        <v>24</v>
      </c>
      <c r="K30" s="83">
        <v>71.571276775764261</v>
      </c>
      <c r="L30" s="77">
        <v>1717.7106426183423</v>
      </c>
      <c r="M30" s="30"/>
      <c r="N30" s="75" t="s">
        <v>28</v>
      </c>
      <c r="O30" s="82">
        <v>24</v>
      </c>
      <c r="P30" s="83">
        <v>71.571276775764261</v>
      </c>
      <c r="Q30" s="77">
        <v>1717.7106426183423</v>
      </c>
      <c r="R30" s="30"/>
      <c r="S30" s="75" t="s">
        <v>28</v>
      </c>
      <c r="T30" s="82">
        <v>24</v>
      </c>
      <c r="U30" s="83">
        <v>71.571276775764261</v>
      </c>
      <c r="V30" s="77">
        <v>1717.7106426183423</v>
      </c>
      <c r="W30" s="30"/>
      <c r="X30" s="75" t="s">
        <v>28</v>
      </c>
      <c r="Y30" s="82">
        <v>24</v>
      </c>
      <c r="Z30" s="83">
        <v>71.571276775764261</v>
      </c>
      <c r="AA30" s="77">
        <v>1717.7106426183423</v>
      </c>
      <c r="AB30" s="74"/>
      <c r="AC30" s="46"/>
      <c r="AD30" s="75"/>
      <c r="AE30" s="82"/>
      <c r="AF30" s="83"/>
      <c r="AG30" s="77">
        <v>6885.5499999999975</v>
      </c>
      <c r="AH30" s="32"/>
      <c r="AI30" s="75"/>
      <c r="AJ30" s="82"/>
      <c r="AK30" s="83"/>
      <c r="AL30" s="77"/>
      <c r="AM30" s="32"/>
      <c r="AN30" s="75"/>
      <c r="AO30" s="82"/>
      <c r="AP30" s="83"/>
      <c r="AQ30" s="77"/>
      <c r="AR30" s="32"/>
      <c r="AS30" s="75"/>
      <c r="AT30" s="82"/>
      <c r="AU30" s="83"/>
      <c r="AV30" s="77"/>
      <c r="AW30" s="30"/>
      <c r="AX30" s="75"/>
      <c r="AY30" s="76"/>
      <c r="AZ30" s="80"/>
      <c r="BA30" s="77">
        <f t="shared" si="0"/>
        <v>6885.5499999999975</v>
      </c>
      <c r="BB30" s="9"/>
    </row>
    <row r="31" spans="1:54" x14ac:dyDescent="0.35">
      <c r="A31" s="40"/>
      <c r="B31" s="85" t="s">
        <v>44</v>
      </c>
      <c r="C31" s="74" t="s">
        <v>27</v>
      </c>
      <c r="D31" s="75" t="s">
        <v>28</v>
      </c>
      <c r="E31" s="76">
        <v>96</v>
      </c>
      <c r="F31" s="80">
        <v>30.541127411705343</v>
      </c>
      <c r="G31" s="77">
        <v>2931.9482315237128</v>
      </c>
      <c r="H31" s="74"/>
      <c r="I31" s="75" t="s">
        <v>28</v>
      </c>
      <c r="J31" s="82">
        <v>24</v>
      </c>
      <c r="K31" s="83">
        <v>30.541127411705343</v>
      </c>
      <c r="L31" s="77">
        <v>732.98705788092821</v>
      </c>
      <c r="M31" s="30"/>
      <c r="N31" s="75" t="s">
        <v>28</v>
      </c>
      <c r="O31" s="82">
        <v>24</v>
      </c>
      <c r="P31" s="83">
        <v>30.541127411705343</v>
      </c>
      <c r="Q31" s="77">
        <v>732.98705788092821</v>
      </c>
      <c r="R31" s="30"/>
      <c r="S31" s="75" t="s">
        <v>28</v>
      </c>
      <c r="T31" s="82">
        <v>24</v>
      </c>
      <c r="U31" s="83">
        <v>30.541127411705343</v>
      </c>
      <c r="V31" s="77">
        <v>732.98705788092821</v>
      </c>
      <c r="W31" s="30"/>
      <c r="X31" s="75" t="s">
        <v>28</v>
      </c>
      <c r="Y31" s="82">
        <v>24</v>
      </c>
      <c r="Z31" s="83">
        <v>30.541127411705343</v>
      </c>
      <c r="AA31" s="77">
        <v>732.98705788092821</v>
      </c>
      <c r="AB31" s="74"/>
      <c r="AC31" s="46"/>
      <c r="AD31" s="75"/>
      <c r="AE31" s="82"/>
      <c r="AF31" s="83"/>
      <c r="AG31" s="77">
        <v>3843.858999999999</v>
      </c>
      <c r="AH31" s="32"/>
      <c r="AI31" s="75"/>
      <c r="AJ31" s="82"/>
      <c r="AK31" s="83"/>
      <c r="AL31" s="77"/>
      <c r="AM31" s="32"/>
      <c r="AN31" s="75"/>
      <c r="AO31" s="82"/>
      <c r="AP31" s="83"/>
      <c r="AQ31" s="77"/>
      <c r="AR31" s="32"/>
      <c r="AS31" s="75"/>
      <c r="AT31" s="82"/>
      <c r="AU31" s="83"/>
      <c r="AV31" s="77"/>
      <c r="AW31" s="30"/>
      <c r="AX31" s="75"/>
      <c r="AY31" s="76"/>
      <c r="AZ31" s="80"/>
      <c r="BA31" s="77">
        <f t="shared" si="0"/>
        <v>3843.858999999999</v>
      </c>
      <c r="BB31" s="9"/>
    </row>
    <row r="32" spans="1:54" x14ac:dyDescent="0.35">
      <c r="A32" s="40"/>
      <c r="B32" s="85" t="s">
        <v>45</v>
      </c>
      <c r="C32" s="74" t="s">
        <v>27</v>
      </c>
      <c r="D32" s="75" t="s">
        <v>28</v>
      </c>
      <c r="E32" s="76">
        <v>96</v>
      </c>
      <c r="F32" s="80">
        <v>30.541127411705343</v>
      </c>
      <c r="G32" s="77">
        <v>2931.9482315237128</v>
      </c>
      <c r="H32" s="74"/>
      <c r="I32" s="75" t="s">
        <v>28</v>
      </c>
      <c r="J32" s="82">
        <v>24</v>
      </c>
      <c r="K32" s="83">
        <v>30.541127411705343</v>
      </c>
      <c r="L32" s="77">
        <v>732.98705788092821</v>
      </c>
      <c r="M32" s="30"/>
      <c r="N32" s="75" t="s">
        <v>28</v>
      </c>
      <c r="O32" s="82">
        <v>24</v>
      </c>
      <c r="P32" s="83">
        <v>30.541127411705343</v>
      </c>
      <c r="Q32" s="77">
        <v>732.98705788092821</v>
      </c>
      <c r="R32" s="30"/>
      <c r="S32" s="75" t="s">
        <v>28</v>
      </c>
      <c r="T32" s="82">
        <v>24</v>
      </c>
      <c r="U32" s="83">
        <v>30.541127411705343</v>
      </c>
      <c r="V32" s="77">
        <v>732.98705788092821</v>
      </c>
      <c r="W32" s="30"/>
      <c r="X32" s="75" t="s">
        <v>28</v>
      </c>
      <c r="Y32" s="82">
        <v>24</v>
      </c>
      <c r="Z32" s="83">
        <v>30.541127411705343</v>
      </c>
      <c r="AA32" s="77">
        <v>732.98705788092821</v>
      </c>
      <c r="AB32" s="74"/>
      <c r="AC32" s="46"/>
      <c r="AD32" s="75"/>
      <c r="AE32" s="82"/>
      <c r="AF32" s="83"/>
      <c r="AG32" s="77">
        <v>0</v>
      </c>
      <c r="AH32" s="32"/>
      <c r="AI32" s="75"/>
      <c r="AJ32" s="82"/>
      <c r="AK32" s="83"/>
      <c r="AL32" s="77"/>
      <c r="AM32" s="32"/>
      <c r="AN32" s="75"/>
      <c r="AO32" s="82"/>
      <c r="AP32" s="83"/>
      <c r="AQ32" s="77"/>
      <c r="AR32" s="32"/>
      <c r="AS32" s="75"/>
      <c r="AT32" s="82"/>
      <c r="AU32" s="83"/>
      <c r="AV32" s="77"/>
      <c r="AW32" s="30"/>
      <c r="AX32" s="75"/>
      <c r="AY32" s="76"/>
      <c r="AZ32" s="80"/>
      <c r="BA32" s="77">
        <f t="shared" si="0"/>
        <v>0</v>
      </c>
      <c r="BB32" s="9"/>
    </row>
    <row r="33" spans="1:54" x14ac:dyDescent="0.35">
      <c r="A33" s="40"/>
      <c r="B33" s="85" t="s">
        <v>46</v>
      </c>
      <c r="C33" s="74" t="s">
        <v>27</v>
      </c>
      <c r="D33" s="75" t="s">
        <v>28</v>
      </c>
      <c r="E33" s="76">
        <v>48</v>
      </c>
      <c r="F33" s="80">
        <v>235.26313462620269</v>
      </c>
      <c r="G33" s="77">
        <v>11292.630462057728</v>
      </c>
      <c r="H33" s="74"/>
      <c r="I33" s="75" t="s">
        <v>28</v>
      </c>
      <c r="J33" s="82">
        <v>12</v>
      </c>
      <c r="K33" s="83">
        <v>235.26313462620266</v>
      </c>
      <c r="L33" s="77">
        <v>2823.1576155144321</v>
      </c>
      <c r="M33" s="30"/>
      <c r="N33" s="75" t="s">
        <v>28</v>
      </c>
      <c r="O33" s="82">
        <v>12</v>
      </c>
      <c r="P33" s="83">
        <v>235.26313462620266</v>
      </c>
      <c r="Q33" s="77">
        <v>2823.1576155144321</v>
      </c>
      <c r="R33" s="30"/>
      <c r="S33" s="75" t="s">
        <v>28</v>
      </c>
      <c r="T33" s="82">
        <v>12</v>
      </c>
      <c r="U33" s="83">
        <v>235.26313462620266</v>
      </c>
      <c r="V33" s="77">
        <v>2823.1576155144321</v>
      </c>
      <c r="W33" s="30"/>
      <c r="X33" s="75" t="s">
        <v>28</v>
      </c>
      <c r="Y33" s="82">
        <v>12</v>
      </c>
      <c r="Z33" s="83">
        <v>235.26313462620266</v>
      </c>
      <c r="AA33" s="77">
        <v>2823.1576155144321</v>
      </c>
      <c r="AB33" s="74"/>
      <c r="AC33" s="46"/>
      <c r="AD33" s="75"/>
      <c r="AE33" s="82"/>
      <c r="AF33" s="83"/>
      <c r="AG33" s="77">
        <v>3569.909000000001</v>
      </c>
      <c r="AH33" s="32"/>
      <c r="AI33" s="75"/>
      <c r="AJ33" s="82"/>
      <c r="AK33" s="83"/>
      <c r="AL33" s="77"/>
      <c r="AM33" s="32"/>
      <c r="AN33" s="75"/>
      <c r="AO33" s="82"/>
      <c r="AP33" s="83"/>
      <c r="AQ33" s="77"/>
      <c r="AR33" s="32"/>
      <c r="AS33" s="75"/>
      <c r="AT33" s="82"/>
      <c r="AU33" s="83"/>
      <c r="AV33" s="77"/>
      <c r="AW33" s="30"/>
      <c r="AX33" s="75"/>
      <c r="AY33" s="76"/>
      <c r="AZ33" s="80"/>
      <c r="BA33" s="77">
        <f t="shared" si="0"/>
        <v>3569.909000000001</v>
      </c>
      <c r="BB33" s="9"/>
    </row>
    <row r="34" spans="1:54" x14ac:dyDescent="0.35">
      <c r="A34" s="40"/>
      <c r="B34" s="85" t="s">
        <v>47</v>
      </c>
      <c r="C34" s="74" t="s">
        <v>27</v>
      </c>
      <c r="D34" s="75" t="s">
        <v>28</v>
      </c>
      <c r="E34" s="76">
        <v>48</v>
      </c>
      <c r="F34" s="80">
        <v>98.04</v>
      </c>
      <c r="G34" s="77">
        <v>4705.92</v>
      </c>
      <c r="H34" s="74"/>
      <c r="I34" s="75" t="s">
        <v>28</v>
      </c>
      <c r="J34" s="82">
        <v>12</v>
      </c>
      <c r="K34" s="80">
        <v>98.04</v>
      </c>
      <c r="L34" s="77">
        <v>1176.48</v>
      </c>
      <c r="M34" s="30"/>
      <c r="N34" s="75" t="s">
        <v>28</v>
      </c>
      <c r="O34" s="82">
        <v>12</v>
      </c>
      <c r="P34" s="80">
        <v>98.04</v>
      </c>
      <c r="Q34" s="77">
        <v>1176.48</v>
      </c>
      <c r="R34" s="30"/>
      <c r="S34" s="75" t="s">
        <v>28</v>
      </c>
      <c r="T34" s="82">
        <v>12</v>
      </c>
      <c r="U34" s="80">
        <v>98.04</v>
      </c>
      <c r="V34" s="77">
        <v>1176.48</v>
      </c>
      <c r="W34" s="30"/>
      <c r="X34" s="75" t="s">
        <v>28</v>
      </c>
      <c r="Y34" s="82">
        <v>12</v>
      </c>
      <c r="Z34" s="80">
        <v>98.04</v>
      </c>
      <c r="AA34" s="77">
        <v>1176.48</v>
      </c>
      <c r="AB34" s="74"/>
      <c r="AC34" s="46"/>
      <c r="AD34" s="75"/>
      <c r="AE34" s="82"/>
      <c r="AF34" s="80"/>
      <c r="AG34" s="77">
        <v>1214.203</v>
      </c>
      <c r="AH34" s="32"/>
      <c r="AI34" s="75"/>
      <c r="AJ34" s="82"/>
      <c r="AK34" s="80"/>
      <c r="AL34" s="77"/>
      <c r="AM34" s="32"/>
      <c r="AN34" s="75"/>
      <c r="AO34" s="82"/>
      <c r="AP34" s="80"/>
      <c r="AQ34" s="77"/>
      <c r="AR34" s="32"/>
      <c r="AS34" s="75"/>
      <c r="AT34" s="82"/>
      <c r="AU34" s="80"/>
      <c r="AV34" s="77"/>
      <c r="AW34" s="30"/>
      <c r="AX34" s="75"/>
      <c r="AY34" s="76"/>
      <c r="AZ34" s="80"/>
      <c r="BA34" s="77">
        <f t="shared" si="0"/>
        <v>1214.203</v>
      </c>
      <c r="BB34" s="9"/>
    </row>
    <row r="35" spans="1:54" x14ac:dyDescent="0.35">
      <c r="A35" s="40"/>
      <c r="B35" s="85" t="s">
        <v>48</v>
      </c>
      <c r="C35" s="74" t="s">
        <v>27</v>
      </c>
      <c r="D35" s="75" t="s">
        <v>28</v>
      </c>
      <c r="E35" s="76">
        <v>48</v>
      </c>
      <c r="F35" s="80">
        <v>83.428944275310741</v>
      </c>
      <c r="G35" s="77">
        <v>4004.5893252149153</v>
      </c>
      <c r="H35" s="74"/>
      <c r="I35" s="75" t="s">
        <v>28</v>
      </c>
      <c r="J35" s="82">
        <v>12</v>
      </c>
      <c r="K35" s="83">
        <v>83.428944275310741</v>
      </c>
      <c r="L35" s="77">
        <v>1001.1473313037288</v>
      </c>
      <c r="M35" s="30"/>
      <c r="N35" s="75" t="s">
        <v>28</v>
      </c>
      <c r="O35" s="82">
        <v>12</v>
      </c>
      <c r="P35" s="83">
        <v>83.428944275310741</v>
      </c>
      <c r="Q35" s="77">
        <v>1001.1473313037288</v>
      </c>
      <c r="R35" s="30"/>
      <c r="S35" s="75" t="s">
        <v>28</v>
      </c>
      <c r="T35" s="82">
        <v>12</v>
      </c>
      <c r="U35" s="83">
        <v>83.428944275310741</v>
      </c>
      <c r="V35" s="77">
        <v>1001.1473313037288</v>
      </c>
      <c r="W35" s="30"/>
      <c r="X35" s="75" t="s">
        <v>28</v>
      </c>
      <c r="Y35" s="82">
        <v>12</v>
      </c>
      <c r="Z35" s="83">
        <v>83.428944275310741</v>
      </c>
      <c r="AA35" s="77">
        <v>1001.1473313037288</v>
      </c>
      <c r="AB35" s="74"/>
      <c r="AC35" s="46"/>
      <c r="AD35" s="75"/>
      <c r="AE35" s="82"/>
      <c r="AF35" s="83"/>
      <c r="AG35" s="77">
        <v>3651.1850000000004</v>
      </c>
      <c r="AH35" s="32"/>
      <c r="AI35" s="75"/>
      <c r="AJ35" s="82"/>
      <c r="AK35" s="83"/>
      <c r="AL35" s="77"/>
      <c r="AM35" s="32"/>
      <c r="AN35" s="75"/>
      <c r="AO35" s="82"/>
      <c r="AP35" s="83"/>
      <c r="AQ35" s="77"/>
      <c r="AR35" s="32"/>
      <c r="AS35" s="75"/>
      <c r="AT35" s="82"/>
      <c r="AU35" s="83"/>
      <c r="AV35" s="77"/>
      <c r="AW35" s="30"/>
      <c r="AX35" s="75"/>
      <c r="AY35" s="76"/>
      <c r="AZ35" s="80"/>
      <c r="BA35" s="77">
        <f t="shared" si="0"/>
        <v>3651.1850000000004</v>
      </c>
      <c r="BB35" s="9"/>
    </row>
    <row r="36" spans="1:54" x14ac:dyDescent="0.35">
      <c r="A36" s="40"/>
      <c r="B36" s="85" t="s">
        <v>49</v>
      </c>
      <c r="C36" s="74" t="s">
        <v>27</v>
      </c>
      <c r="D36" s="75" t="s">
        <v>28</v>
      </c>
      <c r="E36" s="76">
        <v>48</v>
      </c>
      <c r="F36" s="80">
        <v>88.835091324583757</v>
      </c>
      <c r="G36" s="77">
        <v>4264.0843835800206</v>
      </c>
      <c r="H36" s="74"/>
      <c r="I36" s="75" t="s">
        <v>28</v>
      </c>
      <c r="J36" s="82">
        <v>12</v>
      </c>
      <c r="K36" s="83">
        <v>88.835091324583772</v>
      </c>
      <c r="L36" s="77">
        <v>1066.0210958950051</v>
      </c>
      <c r="M36" s="30"/>
      <c r="N36" s="75" t="s">
        <v>28</v>
      </c>
      <c r="O36" s="82">
        <v>12</v>
      </c>
      <c r="P36" s="83">
        <v>88.835091324583772</v>
      </c>
      <c r="Q36" s="77">
        <v>1066.0210958950051</v>
      </c>
      <c r="R36" s="30"/>
      <c r="S36" s="75" t="s">
        <v>28</v>
      </c>
      <c r="T36" s="82">
        <v>12</v>
      </c>
      <c r="U36" s="83">
        <v>88.835091324583772</v>
      </c>
      <c r="V36" s="77">
        <v>1066.0210958950051</v>
      </c>
      <c r="W36" s="30"/>
      <c r="X36" s="75" t="s">
        <v>28</v>
      </c>
      <c r="Y36" s="82">
        <v>12</v>
      </c>
      <c r="Z36" s="83">
        <v>88.835091324583772</v>
      </c>
      <c r="AA36" s="77">
        <v>1066.0210958950051</v>
      </c>
      <c r="AB36" s="74"/>
      <c r="AC36" s="46"/>
      <c r="AD36" s="75"/>
      <c r="AE36" s="82"/>
      <c r="AF36" s="83"/>
      <c r="AG36" s="77">
        <v>1019.9869999999999</v>
      </c>
      <c r="AH36" s="32"/>
      <c r="AI36" s="75"/>
      <c r="AJ36" s="82"/>
      <c r="AK36" s="83"/>
      <c r="AL36" s="77"/>
      <c r="AM36" s="32"/>
      <c r="AN36" s="75"/>
      <c r="AO36" s="82"/>
      <c r="AP36" s="83"/>
      <c r="AQ36" s="77"/>
      <c r="AR36" s="32"/>
      <c r="AS36" s="75"/>
      <c r="AT36" s="82"/>
      <c r="AU36" s="83"/>
      <c r="AV36" s="77"/>
      <c r="AW36" s="30"/>
      <c r="AX36" s="75"/>
      <c r="AY36" s="76"/>
      <c r="AZ36" s="80"/>
      <c r="BA36" s="77">
        <f t="shared" si="0"/>
        <v>1019.9869999999999</v>
      </c>
      <c r="BB36" s="9"/>
    </row>
    <row r="37" spans="1:54" x14ac:dyDescent="0.35">
      <c r="A37" s="40"/>
      <c r="B37" s="86" t="s">
        <v>50</v>
      </c>
      <c r="C37" s="74" t="s">
        <v>27</v>
      </c>
      <c r="D37" s="75" t="s">
        <v>28</v>
      </c>
      <c r="E37" s="76">
        <v>7</v>
      </c>
      <c r="F37" s="80">
        <v>106.71431206618726</v>
      </c>
      <c r="G37" s="77">
        <v>747.0001844633108</v>
      </c>
      <c r="H37" s="74"/>
      <c r="I37" s="75" t="s">
        <v>28</v>
      </c>
      <c r="J37" s="44">
        <v>7</v>
      </c>
      <c r="K37" s="80">
        <v>106.71431206618726</v>
      </c>
      <c r="L37" s="77">
        <v>747.0001844633108</v>
      </c>
      <c r="M37" s="30"/>
      <c r="N37" s="75" t="s">
        <v>28</v>
      </c>
      <c r="O37" s="44">
        <v>0</v>
      </c>
      <c r="P37" s="80">
        <v>106.71431206618726</v>
      </c>
      <c r="Q37" s="77">
        <v>0</v>
      </c>
      <c r="R37" s="30"/>
      <c r="S37" s="75" t="s">
        <v>28</v>
      </c>
      <c r="T37" s="44">
        <v>0</v>
      </c>
      <c r="U37" s="80">
        <v>106.71431206618726</v>
      </c>
      <c r="V37" s="77">
        <v>0</v>
      </c>
      <c r="W37" s="30"/>
      <c r="X37" s="75" t="s">
        <v>28</v>
      </c>
      <c r="Y37" s="44">
        <v>0</v>
      </c>
      <c r="Z37" s="80">
        <v>106.71431206618726</v>
      </c>
      <c r="AA37" s="77">
        <v>0</v>
      </c>
      <c r="AB37" s="74"/>
      <c r="AC37" s="46"/>
      <c r="AD37" s="75"/>
      <c r="AE37" s="44"/>
      <c r="AF37" s="80"/>
      <c r="AG37" s="77">
        <v>548.80799999999988</v>
      </c>
      <c r="AH37" s="32"/>
      <c r="AI37" s="75"/>
      <c r="AJ37" s="44"/>
      <c r="AK37" s="80"/>
      <c r="AL37" s="77"/>
      <c r="AM37" s="32"/>
      <c r="AN37" s="75"/>
      <c r="AO37" s="44"/>
      <c r="AP37" s="80"/>
      <c r="AQ37" s="77"/>
      <c r="AR37" s="32"/>
      <c r="AS37" s="75"/>
      <c r="AT37" s="44"/>
      <c r="AU37" s="80"/>
      <c r="AV37" s="77"/>
      <c r="AW37" s="30"/>
      <c r="AX37" s="75"/>
      <c r="AY37" s="76"/>
      <c r="AZ37" s="80"/>
      <c r="BA37" s="77">
        <f t="shared" si="0"/>
        <v>548.80799999999988</v>
      </c>
      <c r="BB37" s="9"/>
    </row>
    <row r="38" spans="1:54" x14ac:dyDescent="0.35">
      <c r="A38" s="40"/>
      <c r="B38" s="86" t="s">
        <v>51</v>
      </c>
      <c r="C38" s="87" t="s">
        <v>27</v>
      </c>
      <c r="D38" s="75" t="s">
        <v>28</v>
      </c>
      <c r="E38" s="76">
        <v>48</v>
      </c>
      <c r="F38" s="80">
        <v>1902.5049668057375</v>
      </c>
      <c r="G38" s="77">
        <v>91320.238406675402</v>
      </c>
      <c r="H38" s="87"/>
      <c r="I38" s="75" t="s">
        <v>28</v>
      </c>
      <c r="J38" s="44">
        <v>12</v>
      </c>
      <c r="K38" s="88">
        <v>1902.5049668057375</v>
      </c>
      <c r="L38" s="89">
        <v>22830.059601668851</v>
      </c>
      <c r="M38" s="30"/>
      <c r="N38" s="75" t="s">
        <v>28</v>
      </c>
      <c r="O38" s="44">
        <v>12</v>
      </c>
      <c r="P38" s="88">
        <v>1902.5049668057375</v>
      </c>
      <c r="Q38" s="77">
        <v>22830.059601668851</v>
      </c>
      <c r="R38" s="30"/>
      <c r="S38" s="75" t="s">
        <v>28</v>
      </c>
      <c r="T38" s="44">
        <v>12</v>
      </c>
      <c r="U38" s="88">
        <v>1902.5049668057375</v>
      </c>
      <c r="V38" s="77">
        <v>22830.059601668851</v>
      </c>
      <c r="W38" s="30"/>
      <c r="X38" s="75" t="s">
        <v>28</v>
      </c>
      <c r="Y38" s="44">
        <v>12</v>
      </c>
      <c r="Z38" s="88">
        <v>1902.5049668057375</v>
      </c>
      <c r="AA38" s="77">
        <v>22830.059601668851</v>
      </c>
      <c r="AB38" s="87"/>
      <c r="AC38" s="90"/>
      <c r="AD38" s="75"/>
      <c r="AE38" s="44"/>
      <c r="AF38" s="88"/>
      <c r="AG38" s="89">
        <f>4742.674+14855.64</f>
        <v>19598.313999999998</v>
      </c>
      <c r="AH38" s="32"/>
      <c r="AI38" s="75"/>
      <c r="AJ38" s="44"/>
      <c r="AK38" s="88"/>
      <c r="AL38" s="77"/>
      <c r="AM38" s="32"/>
      <c r="AN38" s="75"/>
      <c r="AO38" s="44"/>
      <c r="AP38" s="88"/>
      <c r="AQ38" s="77"/>
      <c r="AR38" s="32"/>
      <c r="AS38" s="75"/>
      <c r="AT38" s="44"/>
      <c r="AU38" s="88"/>
      <c r="AV38" s="77"/>
      <c r="AW38" s="30"/>
      <c r="AX38" s="75"/>
      <c r="AY38" s="76"/>
      <c r="AZ38" s="80"/>
      <c r="BA38" s="77">
        <f t="shared" si="0"/>
        <v>19598.313999999998</v>
      </c>
      <c r="BB38" s="9"/>
    </row>
    <row r="39" spans="1:54" x14ac:dyDescent="0.35">
      <c r="A39" s="40"/>
      <c r="B39" s="86" t="s">
        <v>52</v>
      </c>
      <c r="C39" s="87" t="s">
        <v>27</v>
      </c>
      <c r="D39" s="75" t="s">
        <v>28</v>
      </c>
      <c r="E39" s="76">
        <v>48</v>
      </c>
      <c r="F39" s="80">
        <v>762.13372314597075</v>
      </c>
      <c r="G39" s="77">
        <v>36582.418711006598</v>
      </c>
      <c r="H39" s="87"/>
      <c r="I39" s="75" t="s">
        <v>28</v>
      </c>
      <c r="J39" s="44">
        <v>12</v>
      </c>
      <c r="K39" s="88">
        <v>762.13372314597075</v>
      </c>
      <c r="L39" s="89">
        <v>9145.6046777516494</v>
      </c>
      <c r="M39" s="30"/>
      <c r="N39" s="75" t="s">
        <v>28</v>
      </c>
      <c r="O39" s="44">
        <v>12</v>
      </c>
      <c r="P39" s="88">
        <v>762.13372314597075</v>
      </c>
      <c r="Q39" s="77">
        <v>9145.6046777516494</v>
      </c>
      <c r="R39" s="30"/>
      <c r="S39" s="75" t="s">
        <v>28</v>
      </c>
      <c r="T39" s="44">
        <v>12</v>
      </c>
      <c r="U39" s="88">
        <v>762.13372314597075</v>
      </c>
      <c r="V39" s="77">
        <v>9145.6046777516494</v>
      </c>
      <c r="W39" s="30"/>
      <c r="X39" s="75" t="s">
        <v>28</v>
      </c>
      <c r="Y39" s="44">
        <v>12</v>
      </c>
      <c r="Z39" s="88">
        <v>762.13372314597075</v>
      </c>
      <c r="AA39" s="77">
        <v>9145.6046777516494</v>
      </c>
      <c r="AB39" s="87"/>
      <c r="AC39" s="90"/>
      <c r="AD39" s="75"/>
      <c r="AE39" s="44"/>
      <c r="AF39" s="88"/>
      <c r="AG39" s="89">
        <v>12658.046</v>
      </c>
      <c r="AH39" s="32"/>
      <c r="AI39" s="75"/>
      <c r="AJ39" s="44"/>
      <c r="AK39" s="88"/>
      <c r="AL39" s="77"/>
      <c r="AM39" s="32"/>
      <c r="AN39" s="75"/>
      <c r="AO39" s="44"/>
      <c r="AP39" s="88"/>
      <c r="AQ39" s="77"/>
      <c r="AR39" s="32"/>
      <c r="AS39" s="75"/>
      <c r="AT39" s="44"/>
      <c r="AU39" s="88"/>
      <c r="AV39" s="77"/>
      <c r="AW39" s="30"/>
      <c r="AX39" s="75"/>
      <c r="AY39" s="76"/>
      <c r="AZ39" s="80"/>
      <c r="BA39" s="77">
        <f t="shared" si="0"/>
        <v>12658.046</v>
      </c>
      <c r="BB39" s="9"/>
    </row>
    <row r="40" spans="1:54" x14ac:dyDescent="0.35">
      <c r="A40" s="40"/>
      <c r="B40" s="86"/>
      <c r="C40" s="74"/>
      <c r="D40" s="75"/>
      <c r="E40" s="76"/>
      <c r="F40" s="77"/>
      <c r="G40" s="89"/>
      <c r="H40" s="74"/>
      <c r="I40" s="75"/>
      <c r="J40" s="76"/>
      <c r="K40" s="77"/>
      <c r="L40" s="89"/>
      <c r="M40" s="30"/>
      <c r="N40" s="75"/>
      <c r="O40" s="76"/>
      <c r="P40" s="77"/>
      <c r="Q40" s="89"/>
      <c r="R40" s="30"/>
      <c r="S40" s="75"/>
      <c r="T40" s="76"/>
      <c r="U40" s="77"/>
      <c r="V40" s="89"/>
      <c r="W40" s="30"/>
      <c r="X40" s="75"/>
      <c r="Y40" s="76"/>
      <c r="Z40" s="77"/>
      <c r="AA40" s="89"/>
      <c r="AB40" s="74"/>
      <c r="AC40" s="46"/>
      <c r="AD40" s="75"/>
      <c r="AE40" s="76"/>
      <c r="AF40" s="77"/>
      <c r="AG40" s="89"/>
      <c r="AH40" s="32"/>
      <c r="AI40" s="75"/>
      <c r="AJ40" s="76"/>
      <c r="AK40" s="77"/>
      <c r="AL40" s="89"/>
      <c r="AM40" s="32"/>
      <c r="AN40" s="75"/>
      <c r="AO40" s="76"/>
      <c r="AP40" s="77"/>
      <c r="AQ40" s="89"/>
      <c r="AR40" s="32"/>
      <c r="AS40" s="75"/>
      <c r="AT40" s="76"/>
      <c r="AU40" s="77"/>
      <c r="AV40" s="89"/>
      <c r="AW40" s="30"/>
      <c r="AX40" s="75"/>
      <c r="AY40" s="76"/>
      <c r="AZ40" s="77"/>
      <c r="BA40" s="89"/>
      <c r="BB40" s="9"/>
    </row>
    <row r="41" spans="1:54" x14ac:dyDescent="0.35">
      <c r="A41" s="40"/>
      <c r="B41" s="73" t="s">
        <v>53</v>
      </c>
      <c r="C41" s="42"/>
      <c r="D41" s="43"/>
      <c r="E41" s="44"/>
      <c r="F41" s="45"/>
      <c r="G41" s="91">
        <v>32472.20699799963</v>
      </c>
      <c r="H41" s="42"/>
      <c r="I41" s="43"/>
      <c r="J41" s="44"/>
      <c r="K41" s="45"/>
      <c r="L41" s="91">
        <v>8118.0517494999076</v>
      </c>
      <c r="M41" s="30"/>
      <c r="N41" s="43"/>
      <c r="O41" s="44"/>
      <c r="P41" s="45"/>
      <c r="Q41" s="91">
        <v>8118.0517494999076</v>
      </c>
      <c r="R41" s="30"/>
      <c r="S41" s="43"/>
      <c r="T41" s="44"/>
      <c r="U41" s="45"/>
      <c r="V41" s="91">
        <v>8118.0517494999076</v>
      </c>
      <c r="W41" s="30"/>
      <c r="X41" s="43"/>
      <c r="Y41" s="44"/>
      <c r="Z41" s="45"/>
      <c r="AA41" s="91">
        <v>8118.0517494999076</v>
      </c>
      <c r="AB41" s="42"/>
      <c r="AC41" s="46"/>
      <c r="AD41" s="43"/>
      <c r="AE41" s="44"/>
      <c r="AF41" s="45"/>
      <c r="AG41" s="91">
        <f>SUM(AG42:AG45)</f>
        <v>2770.4160000000002</v>
      </c>
      <c r="AH41" s="32"/>
      <c r="AI41" s="43"/>
      <c r="AJ41" s="44"/>
      <c r="AK41" s="45"/>
      <c r="AL41" s="91">
        <f>SUM(AL42:AL45)</f>
        <v>0</v>
      </c>
      <c r="AM41" s="32"/>
      <c r="AN41" s="43"/>
      <c r="AO41" s="44"/>
      <c r="AP41" s="45"/>
      <c r="AQ41" s="91">
        <f>SUM(AQ42:AQ45)</f>
        <v>0</v>
      </c>
      <c r="AR41" s="32"/>
      <c r="AS41" s="43"/>
      <c r="AT41" s="44"/>
      <c r="AU41" s="45"/>
      <c r="AV41" s="91">
        <f>SUM(AV42:AV45)</f>
        <v>0</v>
      </c>
      <c r="AW41" s="30"/>
      <c r="AX41" s="43"/>
      <c r="AY41" s="44"/>
      <c r="AZ41" s="45"/>
      <c r="BA41" s="91">
        <f>SUM(BA42:BA45)</f>
        <v>2770.4160000000002</v>
      </c>
      <c r="BB41" s="9"/>
    </row>
    <row r="42" spans="1:54" x14ac:dyDescent="0.35">
      <c r="A42" s="40"/>
      <c r="B42" s="92" t="s">
        <v>54</v>
      </c>
      <c r="C42" s="74"/>
      <c r="D42" s="75"/>
      <c r="E42" s="76"/>
      <c r="F42" s="77"/>
      <c r="G42" s="77"/>
      <c r="H42" s="74"/>
      <c r="I42" s="75"/>
      <c r="J42" s="76"/>
      <c r="K42" s="77"/>
      <c r="L42" s="77"/>
      <c r="M42" s="30"/>
      <c r="N42" s="75"/>
      <c r="O42" s="76"/>
      <c r="P42" s="77"/>
      <c r="Q42" s="77"/>
      <c r="R42" s="30"/>
      <c r="S42" s="75"/>
      <c r="T42" s="76"/>
      <c r="U42" s="77"/>
      <c r="V42" s="77"/>
      <c r="W42" s="30"/>
      <c r="X42" s="75"/>
      <c r="Y42" s="76"/>
      <c r="Z42" s="77"/>
      <c r="AA42" s="77"/>
      <c r="AB42" s="74"/>
      <c r="AC42" s="46"/>
      <c r="AD42" s="75"/>
      <c r="AE42" s="76"/>
      <c r="AF42" s="77"/>
      <c r="AG42" s="77"/>
      <c r="AH42" s="32"/>
      <c r="AI42" s="75"/>
      <c r="AJ42" s="76"/>
      <c r="AK42" s="77"/>
      <c r="AL42" s="77"/>
      <c r="AM42" s="32"/>
      <c r="AN42" s="75"/>
      <c r="AO42" s="76"/>
      <c r="AP42" s="77"/>
      <c r="AQ42" s="77"/>
      <c r="AR42" s="32"/>
      <c r="AS42" s="75"/>
      <c r="AT42" s="76"/>
      <c r="AU42" s="77"/>
      <c r="AV42" s="77"/>
      <c r="AW42" s="30"/>
      <c r="AX42" s="75"/>
      <c r="AY42" s="76"/>
      <c r="AZ42" s="77"/>
      <c r="BA42" s="77"/>
      <c r="BB42" s="9"/>
    </row>
    <row r="43" spans="1:54" x14ac:dyDescent="0.35">
      <c r="A43" s="40"/>
      <c r="B43" s="79" t="s">
        <v>55</v>
      </c>
      <c r="C43" s="74" t="s">
        <v>27</v>
      </c>
      <c r="D43" s="75" t="s">
        <v>56</v>
      </c>
      <c r="E43" s="76">
        <v>576</v>
      </c>
      <c r="F43" s="80">
        <v>19</v>
      </c>
      <c r="G43" s="77">
        <v>10944</v>
      </c>
      <c r="H43" s="74"/>
      <c r="I43" s="75" t="s">
        <v>56</v>
      </c>
      <c r="J43" s="76">
        <v>144</v>
      </c>
      <c r="K43" s="77">
        <v>19</v>
      </c>
      <c r="L43" s="77">
        <v>2736</v>
      </c>
      <c r="M43" s="30"/>
      <c r="N43" s="75" t="s">
        <v>56</v>
      </c>
      <c r="O43" s="76">
        <v>144</v>
      </c>
      <c r="P43" s="77">
        <v>19</v>
      </c>
      <c r="Q43" s="77">
        <v>2736</v>
      </c>
      <c r="R43" s="30"/>
      <c r="S43" s="75" t="s">
        <v>56</v>
      </c>
      <c r="T43" s="76">
        <v>144</v>
      </c>
      <c r="U43" s="77">
        <v>19</v>
      </c>
      <c r="V43" s="77">
        <v>2736</v>
      </c>
      <c r="W43" s="30"/>
      <c r="X43" s="75" t="s">
        <v>56</v>
      </c>
      <c r="Y43" s="76">
        <v>144</v>
      </c>
      <c r="Z43" s="77">
        <v>19</v>
      </c>
      <c r="AA43" s="77">
        <v>2736</v>
      </c>
      <c r="AB43" s="74"/>
      <c r="AC43" s="46"/>
      <c r="AD43" s="75"/>
      <c r="AE43" s="76"/>
      <c r="AF43" s="77"/>
      <c r="AG43" s="77">
        <v>510.68399999999997</v>
      </c>
      <c r="AH43" s="32"/>
      <c r="AI43" s="75"/>
      <c r="AJ43" s="76"/>
      <c r="AK43" s="77"/>
      <c r="AL43" s="77"/>
      <c r="AM43" s="32"/>
      <c r="AN43" s="75"/>
      <c r="AO43" s="76"/>
      <c r="AP43" s="77"/>
      <c r="AQ43" s="77"/>
      <c r="AR43" s="32"/>
      <c r="AS43" s="75"/>
      <c r="AT43" s="76"/>
      <c r="AU43" s="77"/>
      <c r="AV43" s="77"/>
      <c r="AW43" s="30"/>
      <c r="AX43" s="75"/>
      <c r="AY43" s="76"/>
      <c r="AZ43" s="80"/>
      <c r="BA43" s="77">
        <f>AG43+AL43+AQ43+AV43</f>
        <v>510.68399999999997</v>
      </c>
      <c r="BB43" s="9"/>
    </row>
    <row r="44" spans="1:54" x14ac:dyDescent="0.35">
      <c r="A44" s="40"/>
      <c r="B44" s="79" t="s">
        <v>57</v>
      </c>
      <c r="C44" s="74" t="s">
        <v>27</v>
      </c>
      <c r="D44" s="75" t="s">
        <v>58</v>
      </c>
      <c r="E44" s="76">
        <v>432</v>
      </c>
      <c r="F44" s="80">
        <v>30</v>
      </c>
      <c r="G44" s="77">
        <v>12960</v>
      </c>
      <c r="H44" s="74"/>
      <c r="I44" s="75" t="s">
        <v>58</v>
      </c>
      <c r="J44" s="76">
        <v>108</v>
      </c>
      <c r="K44" s="77">
        <v>30</v>
      </c>
      <c r="L44" s="77">
        <v>3240</v>
      </c>
      <c r="M44" s="30"/>
      <c r="N44" s="75" t="s">
        <v>58</v>
      </c>
      <c r="O44" s="76">
        <v>108</v>
      </c>
      <c r="P44" s="77">
        <v>30</v>
      </c>
      <c r="Q44" s="77">
        <v>3240</v>
      </c>
      <c r="R44" s="30"/>
      <c r="S44" s="75" t="s">
        <v>58</v>
      </c>
      <c r="T44" s="76">
        <v>108</v>
      </c>
      <c r="U44" s="77">
        <v>30</v>
      </c>
      <c r="V44" s="77">
        <v>3240</v>
      </c>
      <c r="W44" s="30"/>
      <c r="X44" s="75" t="s">
        <v>58</v>
      </c>
      <c r="Y44" s="76">
        <v>108</v>
      </c>
      <c r="Z44" s="77">
        <v>30</v>
      </c>
      <c r="AA44" s="77">
        <v>3240</v>
      </c>
      <c r="AB44" s="74"/>
      <c r="AC44" s="46"/>
      <c r="AD44" s="75"/>
      <c r="AE44" s="76"/>
      <c r="AF44" s="77"/>
      <c r="AG44" s="77">
        <v>1119.2370000000001</v>
      </c>
      <c r="AH44" s="32"/>
      <c r="AI44" s="75"/>
      <c r="AJ44" s="76"/>
      <c r="AK44" s="77"/>
      <c r="AL44" s="77"/>
      <c r="AM44" s="32"/>
      <c r="AN44" s="75"/>
      <c r="AO44" s="76"/>
      <c r="AP44" s="77"/>
      <c r="AQ44" s="77"/>
      <c r="AR44" s="32"/>
      <c r="AS44" s="75"/>
      <c r="AT44" s="76"/>
      <c r="AU44" s="77"/>
      <c r="AV44" s="77"/>
      <c r="AW44" s="30"/>
      <c r="AX44" s="75"/>
      <c r="AY44" s="76"/>
      <c r="AZ44" s="80"/>
      <c r="BA44" s="77">
        <f>AG44+AL44+AQ44+AV44</f>
        <v>1119.2370000000001</v>
      </c>
      <c r="BB44" s="9"/>
    </row>
    <row r="45" spans="1:54" s="30" customFormat="1" x14ac:dyDescent="0.35">
      <c r="A45" s="40"/>
      <c r="B45" s="92" t="s">
        <v>59</v>
      </c>
      <c r="C45" s="87" t="s">
        <v>27</v>
      </c>
      <c r="D45" s="75" t="s">
        <v>28</v>
      </c>
      <c r="E45" s="76">
        <v>48</v>
      </c>
      <c r="F45" s="80">
        <v>178.50431245832564</v>
      </c>
      <c r="G45" s="77">
        <v>8568.2069979996304</v>
      </c>
      <c r="H45" s="87"/>
      <c r="I45" s="75" t="s">
        <v>28</v>
      </c>
      <c r="J45" s="44">
        <v>12</v>
      </c>
      <c r="K45" s="88">
        <v>178.50431245832564</v>
      </c>
      <c r="L45" s="89">
        <v>2142.0517494999076</v>
      </c>
      <c r="N45" s="75" t="s">
        <v>28</v>
      </c>
      <c r="O45" s="44">
        <v>12</v>
      </c>
      <c r="P45" s="88">
        <v>178.50431245832564</v>
      </c>
      <c r="Q45" s="89">
        <v>2142.0517494999076</v>
      </c>
      <c r="S45" s="75" t="s">
        <v>28</v>
      </c>
      <c r="T45" s="44">
        <v>12</v>
      </c>
      <c r="U45" s="88">
        <v>178.50431245832564</v>
      </c>
      <c r="V45" s="89">
        <v>2142.0517494999076</v>
      </c>
      <c r="X45" s="75" t="s">
        <v>28</v>
      </c>
      <c r="Y45" s="44">
        <v>12</v>
      </c>
      <c r="Z45" s="88">
        <v>178.50431245832564</v>
      </c>
      <c r="AA45" s="89">
        <v>2142.0517494999076</v>
      </c>
      <c r="AB45" s="87"/>
      <c r="AC45" s="90"/>
      <c r="AD45" s="75"/>
      <c r="AE45" s="44"/>
      <c r="AF45" s="88"/>
      <c r="AG45" s="89">
        <v>1140.4950000000001</v>
      </c>
      <c r="AH45" s="32"/>
      <c r="AI45" s="75"/>
      <c r="AJ45" s="44"/>
      <c r="AK45" s="88"/>
      <c r="AL45" s="89"/>
      <c r="AM45" s="32"/>
      <c r="AN45" s="75"/>
      <c r="AO45" s="44"/>
      <c r="AP45" s="88"/>
      <c r="AQ45" s="89"/>
      <c r="AR45" s="32"/>
      <c r="AS45" s="75"/>
      <c r="AT45" s="44"/>
      <c r="AU45" s="88"/>
      <c r="AV45" s="89"/>
      <c r="AX45" s="75"/>
      <c r="AY45" s="76"/>
      <c r="AZ45" s="80"/>
      <c r="BA45" s="77">
        <f>AG45+AL45+AQ45+AV45</f>
        <v>1140.4950000000001</v>
      </c>
      <c r="BB45" s="9"/>
    </row>
    <row r="46" spans="1:54" x14ac:dyDescent="0.35">
      <c r="A46" s="40"/>
      <c r="B46" s="86"/>
      <c r="C46" s="74"/>
      <c r="D46" s="75"/>
      <c r="E46" s="76"/>
      <c r="F46" s="77"/>
      <c r="G46" s="89"/>
      <c r="H46" s="74"/>
      <c r="I46" s="75"/>
      <c r="J46" s="76"/>
      <c r="K46" s="77"/>
      <c r="L46" s="89"/>
      <c r="M46" s="30"/>
      <c r="N46" s="75"/>
      <c r="O46" s="76"/>
      <c r="P46" s="77"/>
      <c r="Q46" s="89"/>
      <c r="R46" s="30"/>
      <c r="S46" s="75"/>
      <c r="T46" s="76"/>
      <c r="U46" s="77"/>
      <c r="V46" s="89"/>
      <c r="W46" s="30"/>
      <c r="X46" s="75"/>
      <c r="Y46" s="76"/>
      <c r="Z46" s="77"/>
      <c r="AA46" s="89"/>
      <c r="AB46" s="74"/>
      <c r="AC46" s="46"/>
      <c r="AD46" s="75"/>
      <c r="AE46" s="76"/>
      <c r="AF46" s="77"/>
      <c r="AG46" s="89"/>
      <c r="AH46" s="32"/>
      <c r="AI46" s="75"/>
      <c r="AJ46" s="76"/>
      <c r="AK46" s="77"/>
      <c r="AL46" s="89"/>
      <c r="AM46" s="32"/>
      <c r="AN46" s="75"/>
      <c r="AO46" s="76"/>
      <c r="AP46" s="77"/>
      <c r="AQ46" s="89"/>
      <c r="AR46" s="32"/>
      <c r="AS46" s="75"/>
      <c r="AT46" s="76"/>
      <c r="AU46" s="77"/>
      <c r="AV46" s="89"/>
      <c r="AW46" s="30"/>
      <c r="AX46" s="75"/>
      <c r="AY46" s="76"/>
      <c r="AZ46" s="77"/>
      <c r="BA46" s="89"/>
      <c r="BB46" s="9"/>
    </row>
    <row r="47" spans="1:54" ht="18" customHeight="1" x14ac:dyDescent="0.35">
      <c r="A47" s="40"/>
      <c r="B47" s="73" t="s">
        <v>60</v>
      </c>
      <c r="C47" s="74"/>
      <c r="D47" s="75"/>
      <c r="E47" s="76"/>
      <c r="F47" s="77"/>
      <c r="G47" s="78">
        <v>211838.85358671375</v>
      </c>
      <c r="H47" s="74"/>
      <c r="I47" s="75"/>
      <c r="J47" s="76"/>
      <c r="K47" s="77"/>
      <c r="L47" s="78">
        <v>210558.28184191952</v>
      </c>
      <c r="M47" s="30"/>
      <c r="N47" s="75"/>
      <c r="O47" s="76"/>
      <c r="P47" s="77"/>
      <c r="Q47" s="78">
        <v>426.85724826474905</v>
      </c>
      <c r="R47" s="30"/>
      <c r="S47" s="75"/>
      <c r="T47" s="76"/>
      <c r="U47" s="77"/>
      <c r="V47" s="78">
        <v>426.85724826474905</v>
      </c>
      <c r="W47" s="30"/>
      <c r="X47" s="75"/>
      <c r="Y47" s="76"/>
      <c r="Z47" s="77"/>
      <c r="AA47" s="78">
        <v>426.85724826474905</v>
      </c>
      <c r="AB47" s="74"/>
      <c r="AC47" s="46"/>
      <c r="AD47" s="75"/>
      <c r="AE47" s="76"/>
      <c r="AF47" s="77"/>
      <c r="AG47" s="78">
        <f>SUM(AG49:AG68)</f>
        <v>217319.31500000006</v>
      </c>
      <c r="AH47" s="32"/>
      <c r="AI47" s="75"/>
      <c r="AJ47" s="76"/>
      <c r="AK47" s="77"/>
      <c r="AL47" s="78">
        <f>SUM(AL49:AL68)</f>
        <v>0</v>
      </c>
      <c r="AM47" s="32"/>
      <c r="AN47" s="75"/>
      <c r="AO47" s="76"/>
      <c r="AP47" s="77"/>
      <c r="AQ47" s="78">
        <f>SUM(AQ49:AQ68)</f>
        <v>0</v>
      </c>
      <c r="AR47" s="32"/>
      <c r="AS47" s="75"/>
      <c r="AT47" s="76"/>
      <c r="AU47" s="77"/>
      <c r="AV47" s="78">
        <f>SUM(AV49:AV68)</f>
        <v>0</v>
      </c>
      <c r="AW47" s="30"/>
      <c r="AX47" s="75"/>
      <c r="AY47" s="76"/>
      <c r="AZ47" s="77"/>
      <c r="BA47" s="78">
        <f>SUM(BA49:BA68)</f>
        <v>217319.31500000006</v>
      </c>
      <c r="BB47" s="9"/>
    </row>
    <row r="48" spans="1:54" x14ac:dyDescent="0.35">
      <c r="A48" s="40"/>
      <c r="B48" s="93" t="s">
        <v>61</v>
      </c>
      <c r="C48" s="74"/>
      <c r="D48" s="75"/>
      <c r="E48" s="76"/>
      <c r="F48" s="77"/>
      <c r="G48" s="89"/>
      <c r="H48" s="74"/>
      <c r="I48" s="75"/>
      <c r="J48" s="76"/>
      <c r="K48" s="77"/>
      <c r="L48" s="89"/>
      <c r="M48" s="30"/>
      <c r="N48" s="75"/>
      <c r="O48" s="76"/>
      <c r="P48" s="77"/>
      <c r="Q48" s="89"/>
      <c r="R48" s="30"/>
      <c r="S48" s="75"/>
      <c r="T48" s="76"/>
      <c r="U48" s="77"/>
      <c r="V48" s="89"/>
      <c r="W48" s="30"/>
      <c r="X48" s="75"/>
      <c r="Y48" s="76"/>
      <c r="Z48" s="77"/>
      <c r="AA48" s="89"/>
      <c r="AB48" s="74"/>
      <c r="AC48" s="46"/>
      <c r="AD48" s="75"/>
      <c r="AE48" s="76"/>
      <c r="AF48" s="77"/>
      <c r="AG48" s="89"/>
      <c r="AH48" s="32"/>
      <c r="AI48" s="75"/>
      <c r="AJ48" s="76"/>
      <c r="AK48" s="77"/>
      <c r="AL48" s="89"/>
      <c r="AM48" s="32"/>
      <c r="AN48" s="75"/>
      <c r="AO48" s="76"/>
      <c r="AP48" s="77"/>
      <c r="AQ48" s="89"/>
      <c r="AR48" s="32"/>
      <c r="AS48" s="75"/>
      <c r="AT48" s="76"/>
      <c r="AU48" s="77"/>
      <c r="AV48" s="89"/>
      <c r="AW48" s="30"/>
      <c r="AX48" s="75"/>
      <c r="AY48" s="76"/>
      <c r="AZ48" s="77"/>
      <c r="BA48" s="89"/>
      <c r="BB48" s="9"/>
    </row>
    <row r="49" spans="1:54" x14ac:dyDescent="0.35">
      <c r="A49" s="40"/>
      <c r="B49" s="86" t="s">
        <v>62</v>
      </c>
      <c r="C49" s="74" t="s">
        <v>27</v>
      </c>
      <c r="D49" s="75" t="s">
        <v>63</v>
      </c>
      <c r="E49" s="76">
        <v>18</v>
      </c>
      <c r="F49" s="80">
        <v>1924.6500000000003</v>
      </c>
      <c r="G49" s="77">
        <v>34643.700000000004</v>
      </c>
      <c r="H49" s="74"/>
      <c r="I49" s="75" t="s">
        <v>63</v>
      </c>
      <c r="J49" s="76">
        <v>18</v>
      </c>
      <c r="K49" s="80">
        <v>1924.65</v>
      </c>
      <c r="L49" s="89">
        <v>34643.700000000004</v>
      </c>
      <c r="M49" s="30"/>
      <c r="N49" s="75"/>
      <c r="O49" s="76"/>
      <c r="P49" s="80"/>
      <c r="Q49" s="89">
        <v>0</v>
      </c>
      <c r="R49" s="30"/>
      <c r="S49" s="75"/>
      <c r="T49" s="76"/>
      <c r="U49" s="80"/>
      <c r="V49" s="89">
        <v>0</v>
      </c>
      <c r="W49" s="30"/>
      <c r="X49" s="75"/>
      <c r="Y49" s="76"/>
      <c r="Z49" s="80"/>
      <c r="AA49" s="89">
        <v>0</v>
      </c>
      <c r="AB49" s="74"/>
      <c r="AC49" s="46"/>
      <c r="AD49" s="75"/>
      <c r="AE49" s="76"/>
      <c r="AF49" s="80"/>
      <c r="AG49" s="89">
        <v>35358.619000000006</v>
      </c>
      <c r="AH49" s="32"/>
      <c r="AI49" s="75"/>
      <c r="AJ49" s="76"/>
      <c r="AK49" s="80"/>
      <c r="AL49" s="89">
        <f t="shared" ref="AL49:AL68" si="1">AJ49*AK49</f>
        <v>0</v>
      </c>
      <c r="AM49" s="32"/>
      <c r="AN49" s="75"/>
      <c r="AO49" s="76"/>
      <c r="AP49" s="80"/>
      <c r="AQ49" s="89">
        <f t="shared" ref="AQ49:AQ68" si="2">AO49*AP49</f>
        <v>0</v>
      </c>
      <c r="AR49" s="32"/>
      <c r="AS49" s="75"/>
      <c r="AT49" s="76"/>
      <c r="AU49" s="80"/>
      <c r="AV49" s="89">
        <f t="shared" ref="AV49:AV68" si="3">AT49*AU49</f>
        <v>0</v>
      </c>
      <c r="AW49" s="30"/>
      <c r="AX49" s="75"/>
      <c r="AY49" s="76"/>
      <c r="AZ49" s="80"/>
      <c r="BA49" s="77">
        <f>AG49+AL49+AQ49+AV49</f>
        <v>35358.619000000006</v>
      </c>
      <c r="BB49" s="9"/>
    </row>
    <row r="50" spans="1:54" x14ac:dyDescent="0.35">
      <c r="A50" s="40"/>
      <c r="B50" s="86" t="s">
        <v>64</v>
      </c>
      <c r="C50" s="74" t="s">
        <v>65</v>
      </c>
      <c r="D50" s="75" t="s">
        <v>63</v>
      </c>
      <c r="E50" s="76">
        <v>17</v>
      </c>
      <c r="F50" s="80">
        <v>1924.65</v>
      </c>
      <c r="G50" s="77">
        <v>32719.050000000003</v>
      </c>
      <c r="H50" s="74"/>
      <c r="I50" s="75" t="s">
        <v>63</v>
      </c>
      <c r="J50" s="76">
        <v>17</v>
      </c>
      <c r="K50" s="80">
        <v>1924.65</v>
      </c>
      <c r="L50" s="89">
        <v>32719.050000000003</v>
      </c>
      <c r="M50" s="30"/>
      <c r="N50" s="75"/>
      <c r="O50" s="76"/>
      <c r="P50" s="80"/>
      <c r="Q50" s="89">
        <v>0</v>
      </c>
      <c r="R50" s="30"/>
      <c r="S50" s="75"/>
      <c r="T50" s="76"/>
      <c r="U50" s="80"/>
      <c r="V50" s="89">
        <v>0</v>
      </c>
      <c r="W50" s="30"/>
      <c r="X50" s="75"/>
      <c r="Y50" s="76"/>
      <c r="Z50" s="80"/>
      <c r="AA50" s="89">
        <v>0</v>
      </c>
      <c r="AB50" s="74"/>
      <c r="AC50" s="46"/>
      <c r="AD50" s="75"/>
      <c r="AE50" s="76"/>
      <c r="AF50" s="80"/>
      <c r="AG50" s="89">
        <v>32701.713000000003</v>
      </c>
      <c r="AH50" s="32"/>
      <c r="AI50" s="75"/>
      <c r="AJ50" s="76"/>
      <c r="AK50" s="80"/>
      <c r="AL50" s="89">
        <f t="shared" si="1"/>
        <v>0</v>
      </c>
      <c r="AM50" s="32"/>
      <c r="AN50" s="75"/>
      <c r="AO50" s="76"/>
      <c r="AP50" s="80"/>
      <c r="AQ50" s="89">
        <f t="shared" si="2"/>
        <v>0</v>
      </c>
      <c r="AR50" s="32"/>
      <c r="AS50" s="75"/>
      <c r="AT50" s="76"/>
      <c r="AU50" s="80"/>
      <c r="AV50" s="89">
        <f t="shared" si="3"/>
        <v>0</v>
      </c>
      <c r="AW50" s="30"/>
      <c r="AX50" s="75"/>
      <c r="AY50" s="76"/>
      <c r="AZ50" s="80"/>
      <c r="BA50" s="77">
        <f>AG50+AL50+AQ50+AV50</f>
        <v>32701.713000000003</v>
      </c>
      <c r="BB50" s="9"/>
    </row>
    <row r="51" spans="1:54" x14ac:dyDescent="0.35">
      <c r="A51" s="40"/>
      <c r="B51" s="86" t="s">
        <v>66</v>
      </c>
      <c r="C51" s="74" t="s">
        <v>27</v>
      </c>
      <c r="D51" s="75" t="s">
        <v>67</v>
      </c>
      <c r="E51" s="76">
        <v>16</v>
      </c>
      <c r="F51" s="80">
        <v>20</v>
      </c>
      <c r="G51" s="77">
        <v>320</v>
      </c>
      <c r="H51" s="74"/>
      <c r="I51" s="75" t="s">
        <v>67</v>
      </c>
      <c r="J51" s="76">
        <v>16</v>
      </c>
      <c r="K51" s="80">
        <v>20</v>
      </c>
      <c r="L51" s="89">
        <v>320</v>
      </c>
      <c r="M51" s="30"/>
      <c r="N51" s="75"/>
      <c r="O51" s="76"/>
      <c r="P51" s="80"/>
      <c r="Q51" s="89">
        <v>0</v>
      </c>
      <c r="R51" s="30"/>
      <c r="S51" s="75"/>
      <c r="T51" s="76"/>
      <c r="U51" s="80"/>
      <c r="V51" s="89">
        <v>0</v>
      </c>
      <c r="W51" s="30"/>
      <c r="X51" s="75"/>
      <c r="Y51" s="76"/>
      <c r="Z51" s="80"/>
      <c r="AA51" s="89">
        <v>0</v>
      </c>
      <c r="AB51" s="74"/>
      <c r="AC51" s="46"/>
      <c r="AD51" s="75"/>
      <c r="AE51" s="76"/>
      <c r="AF51" s="80"/>
      <c r="AG51" s="89">
        <v>400.18199999999996</v>
      </c>
      <c r="AH51" s="32"/>
      <c r="AI51" s="75"/>
      <c r="AJ51" s="76"/>
      <c r="AK51" s="80"/>
      <c r="AL51" s="89">
        <f t="shared" si="1"/>
        <v>0</v>
      </c>
      <c r="AM51" s="32"/>
      <c r="AN51" s="75"/>
      <c r="AO51" s="76"/>
      <c r="AP51" s="80"/>
      <c r="AQ51" s="89">
        <f t="shared" si="2"/>
        <v>0</v>
      </c>
      <c r="AR51" s="32"/>
      <c r="AS51" s="75"/>
      <c r="AT51" s="76"/>
      <c r="AU51" s="80"/>
      <c r="AV51" s="89">
        <f t="shared" si="3"/>
        <v>0</v>
      </c>
      <c r="AW51" s="30"/>
      <c r="AX51" s="75"/>
      <c r="AY51" s="76"/>
      <c r="AZ51" s="80"/>
      <c r="BA51" s="77">
        <f>AG51+AL51+AQ51+AV51</f>
        <v>400.18199999999996</v>
      </c>
      <c r="BB51" s="9"/>
    </row>
    <row r="52" spans="1:54" x14ac:dyDescent="0.35">
      <c r="A52" s="40"/>
      <c r="B52" s="86" t="s">
        <v>68</v>
      </c>
      <c r="C52" s="74" t="s">
        <v>65</v>
      </c>
      <c r="D52" s="75" t="s">
        <v>67</v>
      </c>
      <c r="E52" s="76">
        <v>20</v>
      </c>
      <c r="F52" s="80">
        <v>20</v>
      </c>
      <c r="G52" s="77">
        <v>400</v>
      </c>
      <c r="H52" s="74"/>
      <c r="I52" s="75" t="s">
        <v>67</v>
      </c>
      <c r="J52" s="76">
        <v>20</v>
      </c>
      <c r="K52" s="80">
        <v>20</v>
      </c>
      <c r="L52" s="89">
        <v>400</v>
      </c>
      <c r="M52" s="30"/>
      <c r="N52" s="75"/>
      <c r="O52" s="76"/>
      <c r="P52" s="80"/>
      <c r="Q52" s="89">
        <v>0</v>
      </c>
      <c r="R52" s="30"/>
      <c r="S52" s="75"/>
      <c r="T52" s="76"/>
      <c r="U52" s="80"/>
      <c r="V52" s="89">
        <v>0</v>
      </c>
      <c r="W52" s="30"/>
      <c r="X52" s="75"/>
      <c r="Y52" s="76"/>
      <c r="Z52" s="80"/>
      <c r="AA52" s="89">
        <v>0</v>
      </c>
      <c r="AB52" s="74"/>
      <c r="AC52" s="46"/>
      <c r="AD52" s="75"/>
      <c r="AE52" s="76"/>
      <c r="AF52" s="80"/>
      <c r="AG52" s="89">
        <v>381.12700000000001</v>
      </c>
      <c r="AH52" s="32"/>
      <c r="AI52" s="75"/>
      <c r="AJ52" s="76"/>
      <c r="AK52" s="80"/>
      <c r="AL52" s="89">
        <f t="shared" si="1"/>
        <v>0</v>
      </c>
      <c r="AM52" s="32"/>
      <c r="AN52" s="75"/>
      <c r="AO52" s="76"/>
      <c r="AP52" s="80"/>
      <c r="AQ52" s="89">
        <f t="shared" si="2"/>
        <v>0</v>
      </c>
      <c r="AR52" s="32"/>
      <c r="AS52" s="75"/>
      <c r="AT52" s="76"/>
      <c r="AU52" s="80"/>
      <c r="AV52" s="89">
        <f t="shared" si="3"/>
        <v>0</v>
      </c>
      <c r="AW52" s="30"/>
      <c r="AX52" s="75"/>
      <c r="AY52" s="76"/>
      <c r="AZ52" s="80"/>
      <c r="BA52" s="77">
        <f t="shared" ref="BA52:BA68" si="4">AG52+AL52+AQ52+AV52</f>
        <v>381.12700000000001</v>
      </c>
      <c r="BB52" s="9"/>
    </row>
    <row r="53" spans="1:54" x14ac:dyDescent="0.35">
      <c r="A53" s="40"/>
      <c r="B53" s="79" t="s">
        <v>69</v>
      </c>
      <c r="C53" s="87" t="s">
        <v>27</v>
      </c>
      <c r="D53" s="75" t="s">
        <v>70</v>
      </c>
      <c r="E53" s="76">
        <v>72</v>
      </c>
      <c r="F53" s="80">
        <v>12.19592137899283</v>
      </c>
      <c r="G53" s="77">
        <v>878.10633928748382</v>
      </c>
      <c r="H53" s="87"/>
      <c r="I53" s="75" t="s">
        <v>70</v>
      </c>
      <c r="J53" s="76">
        <v>18</v>
      </c>
      <c r="K53" s="80">
        <v>12.19592137899283</v>
      </c>
      <c r="L53" s="89">
        <v>219.52658482187096</v>
      </c>
      <c r="M53" s="30"/>
      <c r="N53" s="75" t="s">
        <v>70</v>
      </c>
      <c r="O53" s="76">
        <v>18</v>
      </c>
      <c r="P53" s="80">
        <v>12.19592137899283</v>
      </c>
      <c r="Q53" s="89">
        <v>219.52658482187096</v>
      </c>
      <c r="R53" s="30"/>
      <c r="S53" s="75" t="s">
        <v>70</v>
      </c>
      <c r="T53" s="76">
        <v>18</v>
      </c>
      <c r="U53" s="80">
        <v>12.19592137899283</v>
      </c>
      <c r="V53" s="89">
        <v>219.52658482187096</v>
      </c>
      <c r="W53" s="30"/>
      <c r="X53" s="75" t="s">
        <v>70</v>
      </c>
      <c r="Y53" s="76">
        <v>18</v>
      </c>
      <c r="Z53" s="80">
        <v>12.19592137899283</v>
      </c>
      <c r="AA53" s="89">
        <v>219.52658482187096</v>
      </c>
      <c r="AB53" s="87"/>
      <c r="AC53" s="90"/>
      <c r="AD53" s="75"/>
      <c r="AE53" s="76"/>
      <c r="AF53" s="80"/>
      <c r="AG53" s="89">
        <v>0</v>
      </c>
      <c r="AH53" s="32"/>
      <c r="AI53" s="75"/>
      <c r="AJ53" s="76"/>
      <c r="AK53" s="80"/>
      <c r="AL53" s="89"/>
      <c r="AM53" s="32"/>
      <c r="AN53" s="75"/>
      <c r="AO53" s="76"/>
      <c r="AP53" s="80"/>
      <c r="AQ53" s="89"/>
      <c r="AR53" s="32"/>
      <c r="AS53" s="75"/>
      <c r="AT53" s="76"/>
      <c r="AU53" s="80"/>
      <c r="AV53" s="89"/>
      <c r="AW53" s="30"/>
      <c r="AX53" s="75"/>
      <c r="AY53" s="76"/>
      <c r="AZ53" s="80"/>
      <c r="BA53" s="77">
        <f t="shared" si="4"/>
        <v>0</v>
      </c>
      <c r="BB53" s="9"/>
    </row>
    <row r="54" spans="1:54" x14ac:dyDescent="0.35">
      <c r="A54" s="40"/>
      <c r="B54" s="84" t="s">
        <v>71</v>
      </c>
      <c r="C54" s="87" t="s">
        <v>65</v>
      </c>
      <c r="D54" s="75" t="s">
        <v>70</v>
      </c>
      <c r="E54" s="76">
        <v>68</v>
      </c>
      <c r="F54" s="80">
        <v>12.19592137899283</v>
      </c>
      <c r="G54" s="77">
        <v>829.32265377151248</v>
      </c>
      <c r="H54" s="87"/>
      <c r="I54" s="75" t="s">
        <v>70</v>
      </c>
      <c r="J54" s="76">
        <v>17</v>
      </c>
      <c r="K54" s="80">
        <v>12.19592137899283</v>
      </c>
      <c r="L54" s="89">
        <v>207.33066344287812</v>
      </c>
      <c r="M54" s="30"/>
      <c r="N54" s="75" t="s">
        <v>70</v>
      </c>
      <c r="O54" s="76">
        <v>17</v>
      </c>
      <c r="P54" s="80">
        <v>12.19592137899283</v>
      </c>
      <c r="Q54" s="89">
        <v>207.33066344287812</v>
      </c>
      <c r="R54" s="30"/>
      <c r="S54" s="75" t="s">
        <v>70</v>
      </c>
      <c r="T54" s="76">
        <v>17</v>
      </c>
      <c r="U54" s="80">
        <v>12.19592137899283</v>
      </c>
      <c r="V54" s="89">
        <v>207.33066344287812</v>
      </c>
      <c r="W54" s="30"/>
      <c r="X54" s="75" t="s">
        <v>70</v>
      </c>
      <c r="Y54" s="76">
        <v>17</v>
      </c>
      <c r="Z54" s="80">
        <v>12.19592137899283</v>
      </c>
      <c r="AA54" s="89">
        <v>207.33066344287812</v>
      </c>
      <c r="AB54" s="87"/>
      <c r="AC54" s="90"/>
      <c r="AD54" s="75"/>
      <c r="AE54" s="76"/>
      <c r="AF54" s="80"/>
      <c r="AG54" s="89">
        <v>0</v>
      </c>
      <c r="AH54" s="32"/>
      <c r="AI54" s="75"/>
      <c r="AJ54" s="76"/>
      <c r="AK54" s="80"/>
      <c r="AL54" s="89"/>
      <c r="AM54" s="32"/>
      <c r="AN54" s="75"/>
      <c r="AO54" s="76"/>
      <c r="AP54" s="80"/>
      <c r="AQ54" s="89"/>
      <c r="AR54" s="32"/>
      <c r="AS54" s="75"/>
      <c r="AT54" s="76"/>
      <c r="AU54" s="80"/>
      <c r="AV54" s="89"/>
      <c r="AW54" s="30"/>
      <c r="AX54" s="75"/>
      <c r="AY54" s="76"/>
      <c r="AZ54" s="80"/>
      <c r="BA54" s="77">
        <f t="shared" si="4"/>
        <v>0</v>
      </c>
      <c r="BB54" s="9"/>
    </row>
    <row r="55" spans="1:54" x14ac:dyDescent="0.35">
      <c r="A55" s="40"/>
      <c r="B55" s="79" t="s">
        <v>72</v>
      </c>
      <c r="C55" s="87" t="s">
        <v>27</v>
      </c>
      <c r="D55" s="75" t="s">
        <v>70</v>
      </c>
      <c r="E55" s="76">
        <v>18</v>
      </c>
      <c r="F55" s="80">
        <v>266.78578016546817</v>
      </c>
      <c r="G55" s="77">
        <v>4802.144042978427</v>
      </c>
      <c r="H55" s="87"/>
      <c r="I55" s="75" t="s">
        <v>70</v>
      </c>
      <c r="J55" s="76">
        <v>18</v>
      </c>
      <c r="K55" s="80">
        <v>266.78578016546817</v>
      </c>
      <c r="L55" s="89">
        <v>4802.144042978427</v>
      </c>
      <c r="M55" s="30"/>
      <c r="N55" s="75"/>
      <c r="O55" s="76"/>
      <c r="P55" s="80"/>
      <c r="Q55" s="89">
        <v>0</v>
      </c>
      <c r="R55" s="30"/>
      <c r="S55" s="75"/>
      <c r="T55" s="76"/>
      <c r="U55" s="80"/>
      <c r="V55" s="89">
        <v>0</v>
      </c>
      <c r="W55" s="30"/>
      <c r="X55" s="75"/>
      <c r="Y55" s="76"/>
      <c r="Z55" s="80"/>
      <c r="AA55" s="89">
        <v>0</v>
      </c>
      <c r="AB55" s="87"/>
      <c r="AC55" s="90"/>
      <c r="AD55" s="75"/>
      <c r="AE55" s="76"/>
      <c r="AF55" s="80"/>
      <c r="AG55" s="89">
        <v>1418.789</v>
      </c>
      <c r="AH55" s="32"/>
      <c r="AI55" s="75"/>
      <c r="AJ55" s="76"/>
      <c r="AK55" s="80"/>
      <c r="AL55" s="89">
        <f t="shared" si="1"/>
        <v>0</v>
      </c>
      <c r="AM55" s="32"/>
      <c r="AN55" s="75"/>
      <c r="AO55" s="76"/>
      <c r="AP55" s="80"/>
      <c r="AQ55" s="89">
        <f t="shared" si="2"/>
        <v>0</v>
      </c>
      <c r="AR55" s="32"/>
      <c r="AS55" s="75"/>
      <c r="AT55" s="76"/>
      <c r="AU55" s="80"/>
      <c r="AV55" s="89">
        <f t="shared" si="3"/>
        <v>0</v>
      </c>
      <c r="AW55" s="30"/>
      <c r="AX55" s="75"/>
      <c r="AY55" s="76"/>
      <c r="AZ55" s="80"/>
      <c r="BA55" s="77">
        <f t="shared" si="4"/>
        <v>1418.789</v>
      </c>
      <c r="BB55" s="9"/>
    </row>
    <row r="56" spans="1:54" x14ac:dyDescent="0.35">
      <c r="A56" s="40"/>
      <c r="B56" s="84" t="s">
        <v>73</v>
      </c>
      <c r="C56" s="87" t="s">
        <v>65</v>
      </c>
      <c r="D56" s="75" t="s">
        <v>70</v>
      </c>
      <c r="E56" s="76">
        <v>17</v>
      </c>
      <c r="F56" s="80">
        <v>266.78578016546817</v>
      </c>
      <c r="G56" s="77">
        <v>4535.3582628129589</v>
      </c>
      <c r="H56" s="87"/>
      <c r="I56" s="75" t="s">
        <v>70</v>
      </c>
      <c r="J56" s="76">
        <v>17</v>
      </c>
      <c r="K56" s="80">
        <v>266.78578016546817</v>
      </c>
      <c r="L56" s="89">
        <v>4535.3582628129589</v>
      </c>
      <c r="M56" s="30"/>
      <c r="N56" s="75"/>
      <c r="O56" s="76"/>
      <c r="P56" s="80"/>
      <c r="Q56" s="89">
        <v>0</v>
      </c>
      <c r="R56" s="30"/>
      <c r="S56" s="75"/>
      <c r="T56" s="76"/>
      <c r="U56" s="80"/>
      <c r="V56" s="89">
        <v>0</v>
      </c>
      <c r="W56" s="30"/>
      <c r="X56" s="75"/>
      <c r="Y56" s="76"/>
      <c r="Z56" s="80"/>
      <c r="AA56" s="89">
        <v>0</v>
      </c>
      <c r="AB56" s="87"/>
      <c r="AC56" s="90"/>
      <c r="AD56" s="75"/>
      <c r="AE56" s="76"/>
      <c r="AF56" s="80"/>
      <c r="AG56" s="89">
        <v>1339.9690000000001</v>
      </c>
      <c r="AH56" s="32"/>
      <c r="AI56" s="75"/>
      <c r="AJ56" s="76"/>
      <c r="AK56" s="80"/>
      <c r="AL56" s="89">
        <f t="shared" si="1"/>
        <v>0</v>
      </c>
      <c r="AM56" s="32"/>
      <c r="AN56" s="75"/>
      <c r="AO56" s="76"/>
      <c r="AP56" s="80"/>
      <c r="AQ56" s="89">
        <f t="shared" si="2"/>
        <v>0</v>
      </c>
      <c r="AR56" s="32"/>
      <c r="AS56" s="75"/>
      <c r="AT56" s="76"/>
      <c r="AU56" s="80"/>
      <c r="AV56" s="89">
        <f t="shared" si="3"/>
        <v>0</v>
      </c>
      <c r="AW56" s="30"/>
      <c r="AX56" s="75"/>
      <c r="AY56" s="76"/>
      <c r="AZ56" s="80"/>
      <c r="BA56" s="77">
        <f t="shared" si="4"/>
        <v>1339.9690000000001</v>
      </c>
      <c r="BB56" s="9"/>
    </row>
    <row r="57" spans="1:54" x14ac:dyDescent="0.35">
      <c r="A57" s="40"/>
      <c r="B57" s="84" t="s">
        <v>74</v>
      </c>
      <c r="C57" s="87" t="s">
        <v>27</v>
      </c>
      <c r="D57" s="75" t="s">
        <v>75</v>
      </c>
      <c r="E57" s="76">
        <v>10</v>
      </c>
      <c r="F57" s="80">
        <v>228.67352585611556</v>
      </c>
      <c r="G57" s="77">
        <v>2286.7352585611557</v>
      </c>
      <c r="H57" s="87"/>
      <c r="I57" s="75" t="s">
        <v>75</v>
      </c>
      <c r="J57" s="76">
        <v>10</v>
      </c>
      <c r="K57" s="80">
        <v>228.67352585611556</v>
      </c>
      <c r="L57" s="89">
        <v>2286.7352585611557</v>
      </c>
      <c r="M57" s="30"/>
      <c r="N57" s="75"/>
      <c r="O57" s="76"/>
      <c r="P57" s="80"/>
      <c r="Q57" s="89">
        <v>0</v>
      </c>
      <c r="R57" s="30"/>
      <c r="S57" s="75"/>
      <c r="T57" s="76"/>
      <c r="U57" s="80"/>
      <c r="V57" s="89">
        <v>0</v>
      </c>
      <c r="W57" s="30"/>
      <c r="X57" s="75"/>
      <c r="Y57" s="76"/>
      <c r="Z57" s="80"/>
      <c r="AA57" s="89">
        <v>0</v>
      </c>
      <c r="AB57" s="87"/>
      <c r="AC57" s="90"/>
      <c r="AD57" s="75"/>
      <c r="AE57" s="76"/>
      <c r="AF57" s="80"/>
      <c r="AG57" s="89">
        <v>2008.6680000000001</v>
      </c>
      <c r="AH57" s="32"/>
      <c r="AI57" s="75"/>
      <c r="AJ57" s="76"/>
      <c r="AK57" s="80"/>
      <c r="AL57" s="89">
        <f t="shared" si="1"/>
        <v>0</v>
      </c>
      <c r="AM57" s="32"/>
      <c r="AN57" s="75"/>
      <c r="AO57" s="76"/>
      <c r="AP57" s="80"/>
      <c r="AQ57" s="89">
        <f t="shared" si="2"/>
        <v>0</v>
      </c>
      <c r="AR57" s="32"/>
      <c r="AS57" s="75"/>
      <c r="AT57" s="76"/>
      <c r="AU57" s="80"/>
      <c r="AV57" s="89">
        <f t="shared" si="3"/>
        <v>0</v>
      </c>
      <c r="AW57" s="30"/>
      <c r="AX57" s="75"/>
      <c r="AY57" s="76"/>
      <c r="AZ57" s="80"/>
      <c r="BA57" s="77">
        <f t="shared" si="4"/>
        <v>2008.6680000000001</v>
      </c>
      <c r="BB57" s="9"/>
    </row>
    <row r="58" spans="1:54" x14ac:dyDescent="0.35">
      <c r="A58" s="40"/>
      <c r="B58" s="79" t="s">
        <v>76</v>
      </c>
      <c r="C58" s="87" t="s">
        <v>65</v>
      </c>
      <c r="D58" s="75" t="s">
        <v>75</v>
      </c>
      <c r="E58" s="76">
        <v>14</v>
      </c>
      <c r="F58" s="80">
        <v>228.67352585611556</v>
      </c>
      <c r="G58" s="77">
        <v>3201.429361985618</v>
      </c>
      <c r="H58" s="87"/>
      <c r="I58" s="75" t="s">
        <v>75</v>
      </c>
      <c r="J58" s="76">
        <v>14</v>
      </c>
      <c r="K58" s="80">
        <v>228.67352585611556</v>
      </c>
      <c r="L58" s="89">
        <v>3201.429361985618</v>
      </c>
      <c r="M58" s="30"/>
      <c r="N58" s="75"/>
      <c r="O58" s="76"/>
      <c r="P58" s="80"/>
      <c r="Q58" s="89">
        <v>0</v>
      </c>
      <c r="R58" s="30"/>
      <c r="S58" s="75"/>
      <c r="T58" s="76"/>
      <c r="U58" s="80"/>
      <c r="V58" s="89">
        <v>0</v>
      </c>
      <c r="W58" s="30"/>
      <c r="X58" s="75"/>
      <c r="Y58" s="76"/>
      <c r="Z58" s="80"/>
      <c r="AA58" s="89">
        <v>0</v>
      </c>
      <c r="AB58" s="87"/>
      <c r="AC58" s="90"/>
      <c r="AD58" s="75"/>
      <c r="AE58" s="76"/>
      <c r="AF58" s="80"/>
      <c r="AG58" s="89">
        <v>2509.9180000000001</v>
      </c>
      <c r="AH58" s="32"/>
      <c r="AI58" s="75"/>
      <c r="AJ58" s="76"/>
      <c r="AK58" s="80"/>
      <c r="AL58" s="89">
        <f t="shared" si="1"/>
        <v>0</v>
      </c>
      <c r="AM58" s="32"/>
      <c r="AN58" s="75"/>
      <c r="AO58" s="76"/>
      <c r="AP58" s="80"/>
      <c r="AQ58" s="89">
        <f t="shared" si="2"/>
        <v>0</v>
      </c>
      <c r="AR58" s="32"/>
      <c r="AS58" s="75"/>
      <c r="AT58" s="76"/>
      <c r="AU58" s="80"/>
      <c r="AV58" s="89">
        <f t="shared" si="3"/>
        <v>0</v>
      </c>
      <c r="AW58" s="30"/>
      <c r="AX58" s="75"/>
      <c r="AY58" s="76"/>
      <c r="AZ58" s="80"/>
      <c r="BA58" s="77">
        <f t="shared" si="4"/>
        <v>2509.9180000000001</v>
      </c>
      <c r="BB58" s="9"/>
    </row>
    <row r="59" spans="1:54" x14ac:dyDescent="0.35">
      <c r="A59" s="40"/>
      <c r="B59" s="79" t="s">
        <v>77</v>
      </c>
      <c r="C59" s="87" t="s">
        <v>27</v>
      </c>
      <c r="D59" s="75" t="s">
        <v>78</v>
      </c>
      <c r="E59" s="76">
        <v>25</v>
      </c>
      <c r="F59" s="80">
        <v>22.867352585611556</v>
      </c>
      <c r="G59" s="77">
        <v>571.68381464028892</v>
      </c>
      <c r="H59" s="87"/>
      <c r="I59" s="75" t="s">
        <v>78</v>
      </c>
      <c r="J59" s="76">
        <v>25</v>
      </c>
      <c r="K59" s="80">
        <v>22.867352585611556</v>
      </c>
      <c r="L59" s="89">
        <v>571.68381464028892</v>
      </c>
      <c r="M59" s="30"/>
      <c r="N59" s="75"/>
      <c r="O59" s="76"/>
      <c r="P59" s="80"/>
      <c r="Q59" s="89">
        <v>0</v>
      </c>
      <c r="R59" s="30"/>
      <c r="S59" s="75"/>
      <c r="T59" s="76"/>
      <c r="U59" s="80"/>
      <c r="V59" s="89">
        <v>0</v>
      </c>
      <c r="W59" s="30"/>
      <c r="X59" s="75"/>
      <c r="Y59" s="76"/>
      <c r="Z59" s="80"/>
      <c r="AA59" s="89">
        <v>0</v>
      </c>
      <c r="AB59" s="87"/>
      <c r="AC59" s="90"/>
      <c r="AD59" s="75"/>
      <c r="AE59" s="76"/>
      <c r="AF59" s="80"/>
      <c r="AG59" s="89">
        <v>4135.1760000000004</v>
      </c>
      <c r="AH59" s="32"/>
      <c r="AI59" s="75"/>
      <c r="AJ59" s="76"/>
      <c r="AK59" s="80"/>
      <c r="AL59" s="89">
        <f t="shared" si="1"/>
        <v>0</v>
      </c>
      <c r="AM59" s="32"/>
      <c r="AN59" s="75"/>
      <c r="AO59" s="76"/>
      <c r="AP59" s="80"/>
      <c r="AQ59" s="89">
        <f t="shared" si="2"/>
        <v>0</v>
      </c>
      <c r="AR59" s="32"/>
      <c r="AS59" s="75"/>
      <c r="AT59" s="76"/>
      <c r="AU59" s="80"/>
      <c r="AV59" s="89">
        <f t="shared" si="3"/>
        <v>0</v>
      </c>
      <c r="AW59" s="30"/>
      <c r="AX59" s="75"/>
      <c r="AY59" s="76"/>
      <c r="AZ59" s="80"/>
      <c r="BA59" s="77">
        <f t="shared" si="4"/>
        <v>4135.1760000000004</v>
      </c>
      <c r="BB59" s="9"/>
    </row>
    <row r="60" spans="1:54" x14ac:dyDescent="0.35">
      <c r="A60" s="40"/>
      <c r="B60" s="79" t="s">
        <v>79</v>
      </c>
      <c r="C60" s="87" t="s">
        <v>65</v>
      </c>
      <c r="D60" s="75" t="s">
        <v>78</v>
      </c>
      <c r="E60" s="76">
        <v>14</v>
      </c>
      <c r="F60" s="80">
        <v>320.1429361985617</v>
      </c>
      <c r="G60" s="77">
        <v>4482.0011067798641</v>
      </c>
      <c r="H60" s="87"/>
      <c r="I60" s="75" t="s">
        <v>78</v>
      </c>
      <c r="J60" s="76">
        <v>14</v>
      </c>
      <c r="K60" s="80">
        <v>320.14293619856176</v>
      </c>
      <c r="L60" s="89">
        <v>4482.0011067798641</v>
      </c>
      <c r="M60" s="30"/>
      <c r="N60" s="75"/>
      <c r="O60" s="76"/>
      <c r="P60" s="80"/>
      <c r="Q60" s="89">
        <v>0</v>
      </c>
      <c r="R60" s="30"/>
      <c r="S60" s="75"/>
      <c r="T60" s="76"/>
      <c r="U60" s="80"/>
      <c r="V60" s="89">
        <v>0</v>
      </c>
      <c r="W60" s="30"/>
      <c r="X60" s="75"/>
      <c r="Y60" s="76"/>
      <c r="Z60" s="80"/>
      <c r="AA60" s="89">
        <v>0</v>
      </c>
      <c r="AB60" s="87"/>
      <c r="AC60" s="90"/>
      <c r="AD60" s="75"/>
      <c r="AE60" s="76"/>
      <c r="AF60" s="80"/>
      <c r="AG60" s="89">
        <v>522.899</v>
      </c>
      <c r="AH60" s="32"/>
      <c r="AI60" s="75"/>
      <c r="AJ60" s="76"/>
      <c r="AK60" s="80"/>
      <c r="AL60" s="89">
        <f t="shared" si="1"/>
        <v>0</v>
      </c>
      <c r="AM60" s="32"/>
      <c r="AN60" s="75"/>
      <c r="AO60" s="76"/>
      <c r="AP60" s="80"/>
      <c r="AQ60" s="89">
        <f t="shared" si="2"/>
        <v>0</v>
      </c>
      <c r="AR60" s="32"/>
      <c r="AS60" s="75"/>
      <c r="AT60" s="76"/>
      <c r="AU60" s="80"/>
      <c r="AV60" s="89">
        <f t="shared" si="3"/>
        <v>0</v>
      </c>
      <c r="AW60" s="30"/>
      <c r="AX60" s="75"/>
      <c r="AY60" s="76"/>
      <c r="AZ60" s="80"/>
      <c r="BA60" s="77">
        <f t="shared" si="4"/>
        <v>522.899</v>
      </c>
      <c r="BB60" s="9"/>
    </row>
    <row r="61" spans="1:54" x14ac:dyDescent="0.35">
      <c r="A61" s="40"/>
      <c r="B61" s="79" t="s">
        <v>80</v>
      </c>
      <c r="C61" s="87" t="s">
        <v>27</v>
      </c>
      <c r="D61" s="75" t="s">
        <v>81</v>
      </c>
      <c r="E61" s="76">
        <v>1</v>
      </c>
      <c r="F61" s="80">
        <v>457.34705171223112</v>
      </c>
      <c r="G61" s="77">
        <v>457.34705171223112</v>
      </c>
      <c r="H61" s="87"/>
      <c r="I61" s="75" t="s">
        <v>81</v>
      </c>
      <c r="J61" s="76">
        <v>1</v>
      </c>
      <c r="K61" s="80">
        <v>457.34705171223112</v>
      </c>
      <c r="L61" s="89">
        <v>457.34705171223112</v>
      </c>
      <c r="M61" s="30"/>
      <c r="N61" s="75"/>
      <c r="O61" s="76"/>
      <c r="P61" s="80"/>
      <c r="Q61" s="89">
        <v>0</v>
      </c>
      <c r="R61" s="30"/>
      <c r="S61" s="75"/>
      <c r="T61" s="76"/>
      <c r="U61" s="80"/>
      <c r="V61" s="89">
        <v>0</v>
      </c>
      <c r="W61" s="30"/>
      <c r="X61" s="75"/>
      <c r="Y61" s="76"/>
      <c r="Z61" s="80"/>
      <c r="AA61" s="89">
        <v>0</v>
      </c>
      <c r="AB61" s="87"/>
      <c r="AC61" s="90"/>
      <c r="AD61" s="75"/>
      <c r="AE61" s="76"/>
      <c r="AF61" s="80"/>
      <c r="AG61" s="89">
        <v>99.093999999999994</v>
      </c>
      <c r="AH61" s="32"/>
      <c r="AI61" s="75"/>
      <c r="AJ61" s="76"/>
      <c r="AK61" s="80"/>
      <c r="AL61" s="89">
        <f t="shared" si="1"/>
        <v>0</v>
      </c>
      <c r="AM61" s="32"/>
      <c r="AN61" s="75"/>
      <c r="AO61" s="76"/>
      <c r="AP61" s="80"/>
      <c r="AQ61" s="89">
        <f t="shared" si="2"/>
        <v>0</v>
      </c>
      <c r="AR61" s="32"/>
      <c r="AS61" s="75"/>
      <c r="AT61" s="76"/>
      <c r="AU61" s="80"/>
      <c r="AV61" s="89">
        <f t="shared" si="3"/>
        <v>0</v>
      </c>
      <c r="AW61" s="30"/>
      <c r="AX61" s="75"/>
      <c r="AY61" s="76"/>
      <c r="AZ61" s="80"/>
      <c r="BA61" s="77">
        <f t="shared" si="4"/>
        <v>99.093999999999994</v>
      </c>
      <c r="BB61" s="9"/>
    </row>
    <row r="62" spans="1:54" x14ac:dyDescent="0.35">
      <c r="A62" s="40"/>
      <c r="B62" s="93" t="s">
        <v>82</v>
      </c>
      <c r="C62" s="74"/>
      <c r="D62" s="75"/>
      <c r="E62" s="76"/>
      <c r="F62" s="80"/>
      <c r="G62" s="77"/>
      <c r="H62" s="74"/>
      <c r="I62" s="75"/>
      <c r="J62" s="76"/>
      <c r="K62" s="77"/>
      <c r="L62" s="89"/>
      <c r="M62" s="30"/>
      <c r="N62" s="75"/>
      <c r="O62" s="76"/>
      <c r="P62" s="77"/>
      <c r="Q62" s="89"/>
      <c r="R62" s="30"/>
      <c r="S62" s="75"/>
      <c r="T62" s="76"/>
      <c r="U62" s="77"/>
      <c r="V62" s="89"/>
      <c r="W62" s="30"/>
      <c r="X62" s="75"/>
      <c r="Y62" s="76"/>
      <c r="Z62" s="77"/>
      <c r="AA62" s="89"/>
      <c r="AB62" s="74"/>
      <c r="AC62" s="46"/>
      <c r="AD62" s="75"/>
      <c r="AE62" s="76"/>
      <c r="AF62" s="77"/>
      <c r="AG62" s="89"/>
      <c r="AH62" s="32"/>
      <c r="AI62" s="75"/>
      <c r="AJ62" s="76"/>
      <c r="AK62" s="77"/>
      <c r="AL62" s="89"/>
      <c r="AM62" s="32"/>
      <c r="AN62" s="75"/>
      <c r="AO62" s="76"/>
      <c r="AP62" s="77"/>
      <c r="AQ62" s="89"/>
      <c r="AR62" s="32"/>
      <c r="AS62" s="75"/>
      <c r="AT62" s="76"/>
      <c r="AU62" s="77"/>
      <c r="AV62" s="89"/>
      <c r="AW62" s="30"/>
      <c r="AX62" s="75"/>
      <c r="AY62" s="76"/>
      <c r="AZ62" s="80"/>
      <c r="BA62" s="77"/>
      <c r="BB62" s="9"/>
    </row>
    <row r="63" spans="1:54" x14ac:dyDescent="0.35">
      <c r="A63" s="40"/>
      <c r="B63" s="79" t="s">
        <v>83</v>
      </c>
      <c r="C63" s="87" t="s">
        <v>27</v>
      </c>
      <c r="D63" s="75" t="s">
        <v>84</v>
      </c>
      <c r="E63" s="76">
        <v>3</v>
      </c>
      <c r="F63" s="80">
        <v>228.67352585611556</v>
      </c>
      <c r="G63" s="77">
        <v>686.02057756834665</v>
      </c>
      <c r="H63" s="87"/>
      <c r="I63" s="75" t="s">
        <v>84</v>
      </c>
      <c r="J63" s="76">
        <v>3</v>
      </c>
      <c r="K63" s="80">
        <v>228.67352585611556</v>
      </c>
      <c r="L63" s="89">
        <v>686.02057756834665</v>
      </c>
      <c r="M63" s="30"/>
      <c r="N63" s="75"/>
      <c r="O63" s="76"/>
      <c r="P63" s="80"/>
      <c r="Q63" s="89">
        <v>0</v>
      </c>
      <c r="R63" s="30"/>
      <c r="S63" s="75"/>
      <c r="T63" s="76"/>
      <c r="U63" s="80"/>
      <c r="V63" s="89">
        <v>0</v>
      </c>
      <c r="W63" s="30"/>
      <c r="X63" s="75"/>
      <c r="Y63" s="76"/>
      <c r="Z63" s="80"/>
      <c r="AA63" s="89">
        <v>0</v>
      </c>
      <c r="AB63" s="87"/>
      <c r="AC63" s="90"/>
      <c r="AD63" s="75"/>
      <c r="AE63" s="76"/>
      <c r="AF63" s="80"/>
      <c r="AG63" s="89">
        <v>388.74299999999999</v>
      </c>
      <c r="AH63" s="32"/>
      <c r="AI63" s="75"/>
      <c r="AJ63" s="76"/>
      <c r="AK63" s="80"/>
      <c r="AL63" s="89">
        <f t="shared" si="1"/>
        <v>0</v>
      </c>
      <c r="AM63" s="32"/>
      <c r="AN63" s="75"/>
      <c r="AO63" s="76"/>
      <c r="AP63" s="80"/>
      <c r="AQ63" s="89">
        <f t="shared" si="2"/>
        <v>0</v>
      </c>
      <c r="AR63" s="32"/>
      <c r="AS63" s="75"/>
      <c r="AT63" s="76"/>
      <c r="AU63" s="80"/>
      <c r="AV63" s="89">
        <f t="shared" si="3"/>
        <v>0</v>
      </c>
      <c r="AW63" s="30"/>
      <c r="AX63" s="75"/>
      <c r="AY63" s="76"/>
      <c r="AZ63" s="80"/>
      <c r="BA63" s="77">
        <f t="shared" si="4"/>
        <v>388.74299999999999</v>
      </c>
      <c r="BB63" s="9"/>
    </row>
    <row r="64" spans="1:54" x14ac:dyDescent="0.35">
      <c r="A64" s="40"/>
      <c r="B64" s="84" t="s">
        <v>85</v>
      </c>
      <c r="C64" s="87" t="s">
        <v>65</v>
      </c>
      <c r="D64" s="75" t="s">
        <v>84</v>
      </c>
      <c r="E64" s="76">
        <v>8</v>
      </c>
      <c r="F64" s="80">
        <v>228.67352585611556</v>
      </c>
      <c r="G64" s="77">
        <v>1829.3882068489245</v>
      </c>
      <c r="H64" s="87"/>
      <c r="I64" s="75" t="s">
        <v>84</v>
      </c>
      <c r="J64" s="76">
        <v>8</v>
      </c>
      <c r="K64" s="80">
        <v>228.67352585611556</v>
      </c>
      <c r="L64" s="89">
        <v>1829.3882068489245</v>
      </c>
      <c r="M64" s="30"/>
      <c r="N64" s="75"/>
      <c r="O64" s="76"/>
      <c r="P64" s="80"/>
      <c r="Q64" s="89">
        <v>0</v>
      </c>
      <c r="R64" s="30"/>
      <c r="S64" s="75"/>
      <c r="T64" s="76"/>
      <c r="U64" s="80"/>
      <c r="V64" s="89">
        <v>0</v>
      </c>
      <c r="W64" s="30"/>
      <c r="X64" s="75"/>
      <c r="Y64" s="76"/>
      <c r="Z64" s="80"/>
      <c r="AA64" s="89">
        <v>0</v>
      </c>
      <c r="AB64" s="87"/>
      <c r="AC64" s="90"/>
      <c r="AD64" s="75"/>
      <c r="AE64" s="76"/>
      <c r="AF64" s="80"/>
      <c r="AG64" s="89">
        <v>1036.652</v>
      </c>
      <c r="AH64" s="32"/>
      <c r="AI64" s="75"/>
      <c r="AJ64" s="76"/>
      <c r="AK64" s="80"/>
      <c r="AL64" s="89">
        <f t="shared" si="1"/>
        <v>0</v>
      </c>
      <c r="AM64" s="32"/>
      <c r="AN64" s="75"/>
      <c r="AO64" s="76"/>
      <c r="AP64" s="80"/>
      <c r="AQ64" s="89">
        <f t="shared" si="2"/>
        <v>0</v>
      </c>
      <c r="AR64" s="32"/>
      <c r="AS64" s="75"/>
      <c r="AT64" s="76"/>
      <c r="AU64" s="80"/>
      <c r="AV64" s="89">
        <f t="shared" si="3"/>
        <v>0</v>
      </c>
      <c r="AW64" s="30"/>
      <c r="AX64" s="75"/>
      <c r="AY64" s="76"/>
      <c r="AZ64" s="80"/>
      <c r="BA64" s="77">
        <f t="shared" si="4"/>
        <v>1036.652</v>
      </c>
      <c r="BB64" s="9"/>
    </row>
    <row r="65" spans="1:55" x14ac:dyDescent="0.35">
      <c r="A65" s="40"/>
      <c r="B65" s="79" t="s">
        <v>86</v>
      </c>
      <c r="C65" s="87" t="s">
        <v>27</v>
      </c>
      <c r="D65" s="75" t="s">
        <v>87</v>
      </c>
      <c r="E65" s="76">
        <v>1</v>
      </c>
      <c r="F65" s="80">
        <v>27000</v>
      </c>
      <c r="G65" s="77">
        <v>27000</v>
      </c>
      <c r="H65" s="87"/>
      <c r="I65" s="75" t="s">
        <v>87</v>
      </c>
      <c r="J65" s="76">
        <v>1</v>
      </c>
      <c r="K65" s="80">
        <v>27000</v>
      </c>
      <c r="L65" s="89">
        <v>27000</v>
      </c>
      <c r="M65" s="30"/>
      <c r="N65" s="75"/>
      <c r="O65" s="76"/>
      <c r="P65" s="80"/>
      <c r="Q65" s="89">
        <v>0</v>
      </c>
      <c r="R65" s="30"/>
      <c r="S65" s="75"/>
      <c r="T65" s="76"/>
      <c r="U65" s="80"/>
      <c r="V65" s="89">
        <v>0</v>
      </c>
      <c r="W65" s="30"/>
      <c r="X65" s="75"/>
      <c r="Y65" s="76"/>
      <c r="Z65" s="80"/>
      <c r="AA65" s="89">
        <v>0</v>
      </c>
      <c r="AB65" s="87"/>
      <c r="AC65" s="90"/>
      <c r="AD65" s="75"/>
      <c r="AE65" s="76"/>
      <c r="AF65" s="80"/>
      <c r="AG65" s="89">
        <v>26095.123</v>
      </c>
      <c r="AH65" s="32"/>
      <c r="AI65" s="75"/>
      <c r="AJ65" s="76"/>
      <c r="AK65" s="80"/>
      <c r="AL65" s="89">
        <f t="shared" si="1"/>
        <v>0</v>
      </c>
      <c r="AM65" s="32"/>
      <c r="AN65" s="75"/>
      <c r="AO65" s="76"/>
      <c r="AP65" s="80"/>
      <c r="AQ65" s="89">
        <f t="shared" si="2"/>
        <v>0</v>
      </c>
      <c r="AR65" s="32"/>
      <c r="AS65" s="75"/>
      <c r="AT65" s="76"/>
      <c r="AU65" s="80"/>
      <c r="AV65" s="89">
        <f t="shared" si="3"/>
        <v>0</v>
      </c>
      <c r="AW65" s="30"/>
      <c r="AX65" s="75"/>
      <c r="AY65" s="76"/>
      <c r="AZ65" s="80"/>
      <c r="BA65" s="77">
        <f t="shared" si="4"/>
        <v>26095.123</v>
      </c>
      <c r="BB65" s="9"/>
    </row>
    <row r="66" spans="1:55" x14ac:dyDescent="0.35">
      <c r="A66" s="40"/>
      <c r="B66" s="79" t="s">
        <v>88</v>
      </c>
      <c r="C66" s="87" t="s">
        <v>65</v>
      </c>
      <c r="D66" s="75" t="s">
        <v>87</v>
      </c>
      <c r="E66" s="76">
        <v>3</v>
      </c>
      <c r="F66" s="80">
        <v>23333.33</v>
      </c>
      <c r="G66" s="77">
        <v>69999.990000000005</v>
      </c>
      <c r="H66" s="87"/>
      <c r="I66" s="75" t="s">
        <v>87</v>
      </c>
      <c r="J66" s="76">
        <v>3</v>
      </c>
      <c r="K66" s="80">
        <v>23333.33</v>
      </c>
      <c r="L66" s="89">
        <v>69999.990000000005</v>
      </c>
      <c r="M66" s="30"/>
      <c r="N66" s="75"/>
      <c r="O66" s="76"/>
      <c r="P66" s="80"/>
      <c r="Q66" s="89">
        <v>0</v>
      </c>
      <c r="R66" s="30"/>
      <c r="S66" s="75"/>
      <c r="T66" s="76"/>
      <c r="U66" s="80"/>
      <c r="V66" s="89">
        <v>0</v>
      </c>
      <c r="W66" s="30"/>
      <c r="X66" s="75"/>
      <c r="Y66" s="76"/>
      <c r="Z66" s="80"/>
      <c r="AA66" s="89">
        <v>0</v>
      </c>
      <c r="AB66" s="87"/>
      <c r="AC66" s="90"/>
      <c r="AD66" s="75"/>
      <c r="AE66" s="76"/>
      <c r="AF66" s="80"/>
      <c r="AG66" s="89">
        <v>86726.10000000002</v>
      </c>
      <c r="AH66" s="32"/>
      <c r="AI66" s="75"/>
      <c r="AJ66" s="76"/>
      <c r="AK66" s="80"/>
      <c r="AL66" s="89">
        <f t="shared" si="1"/>
        <v>0</v>
      </c>
      <c r="AM66" s="32"/>
      <c r="AN66" s="75"/>
      <c r="AO66" s="76"/>
      <c r="AP66" s="80"/>
      <c r="AQ66" s="89">
        <f t="shared" si="2"/>
        <v>0</v>
      </c>
      <c r="AR66" s="32"/>
      <c r="AS66" s="75"/>
      <c r="AT66" s="76"/>
      <c r="AU66" s="80"/>
      <c r="AV66" s="89">
        <f t="shared" si="3"/>
        <v>0</v>
      </c>
      <c r="AW66" s="30"/>
      <c r="AX66" s="75"/>
      <c r="AY66" s="76"/>
      <c r="AZ66" s="80"/>
      <c r="BA66" s="77">
        <f t="shared" si="4"/>
        <v>86726.10000000002</v>
      </c>
      <c r="BB66" s="9"/>
    </row>
    <row r="67" spans="1:55" x14ac:dyDescent="0.35">
      <c r="A67" s="40"/>
      <c r="B67" s="79" t="s">
        <v>89</v>
      </c>
      <c r="C67" s="87" t="s">
        <v>27</v>
      </c>
      <c r="D67" s="75" t="s">
        <v>90</v>
      </c>
      <c r="E67" s="76">
        <v>4</v>
      </c>
      <c r="F67" s="80">
        <v>2195.2658482187094</v>
      </c>
      <c r="G67" s="77">
        <v>8781.0633928748375</v>
      </c>
      <c r="H67" s="87"/>
      <c r="I67" s="75" t="s">
        <v>90</v>
      </c>
      <c r="J67" s="76">
        <v>4</v>
      </c>
      <c r="K67" s="80">
        <v>2195.2658482187094</v>
      </c>
      <c r="L67" s="89">
        <v>8781.0633928748375</v>
      </c>
      <c r="M67" s="30"/>
      <c r="N67" s="75"/>
      <c r="O67" s="76"/>
      <c r="P67" s="80"/>
      <c r="Q67" s="89">
        <v>0</v>
      </c>
      <c r="R67" s="30"/>
      <c r="S67" s="75"/>
      <c r="T67" s="76"/>
      <c r="U67" s="80"/>
      <c r="V67" s="89">
        <v>0</v>
      </c>
      <c r="W67" s="30"/>
      <c r="X67" s="75"/>
      <c r="Y67" s="76"/>
      <c r="Z67" s="80"/>
      <c r="AA67" s="89">
        <v>0</v>
      </c>
      <c r="AB67" s="87"/>
      <c r="AC67" s="90"/>
      <c r="AD67" s="75"/>
      <c r="AE67" s="76"/>
      <c r="AF67" s="80"/>
      <c r="AG67" s="89">
        <v>8781.0640000000003</v>
      </c>
      <c r="AH67" s="32"/>
      <c r="AI67" s="75"/>
      <c r="AJ67" s="76"/>
      <c r="AK67" s="80"/>
      <c r="AL67" s="89">
        <f t="shared" si="1"/>
        <v>0</v>
      </c>
      <c r="AM67" s="32"/>
      <c r="AN67" s="75"/>
      <c r="AO67" s="76"/>
      <c r="AP67" s="80"/>
      <c r="AQ67" s="89">
        <f t="shared" si="2"/>
        <v>0</v>
      </c>
      <c r="AR67" s="32"/>
      <c r="AS67" s="75"/>
      <c r="AT67" s="76"/>
      <c r="AU67" s="80"/>
      <c r="AV67" s="89">
        <f t="shared" si="3"/>
        <v>0</v>
      </c>
      <c r="AW67" s="30"/>
      <c r="AX67" s="75"/>
      <c r="AY67" s="76"/>
      <c r="AZ67" s="80"/>
      <c r="BA67" s="77">
        <f t="shared" si="4"/>
        <v>8781.0640000000003</v>
      </c>
      <c r="BB67" s="9"/>
    </row>
    <row r="68" spans="1:55" x14ac:dyDescent="0.35">
      <c r="A68" s="40"/>
      <c r="B68" s="79" t="s">
        <v>91</v>
      </c>
      <c r="C68" s="87" t="s">
        <v>65</v>
      </c>
      <c r="D68" s="75" t="s">
        <v>90</v>
      </c>
      <c r="E68" s="76">
        <v>11</v>
      </c>
      <c r="F68" s="80">
        <v>1219.592137899283</v>
      </c>
      <c r="G68" s="77">
        <v>13415.513516892113</v>
      </c>
      <c r="H68" s="87"/>
      <c r="I68" s="75" t="s">
        <v>90</v>
      </c>
      <c r="J68" s="76">
        <v>11</v>
      </c>
      <c r="K68" s="80">
        <v>1219.592137899283</v>
      </c>
      <c r="L68" s="89">
        <v>13415.513516892113</v>
      </c>
      <c r="M68" s="30"/>
      <c r="N68" s="75"/>
      <c r="O68" s="76"/>
      <c r="P68" s="80"/>
      <c r="Q68" s="89">
        <v>0</v>
      </c>
      <c r="R68" s="30"/>
      <c r="S68" s="75"/>
      <c r="T68" s="76"/>
      <c r="U68" s="80"/>
      <c r="V68" s="89">
        <v>0</v>
      </c>
      <c r="W68" s="30"/>
      <c r="X68" s="75"/>
      <c r="Y68" s="76"/>
      <c r="Z68" s="80"/>
      <c r="AA68" s="89">
        <v>0</v>
      </c>
      <c r="AB68" s="87"/>
      <c r="AC68" s="90"/>
      <c r="AD68" s="75"/>
      <c r="AE68" s="76"/>
      <c r="AF68" s="80"/>
      <c r="AG68" s="89">
        <v>13415.478999999999</v>
      </c>
      <c r="AH68" s="32"/>
      <c r="AI68" s="75"/>
      <c r="AJ68" s="76"/>
      <c r="AK68" s="80"/>
      <c r="AL68" s="89">
        <f t="shared" si="1"/>
        <v>0</v>
      </c>
      <c r="AM68" s="32"/>
      <c r="AN68" s="75"/>
      <c r="AO68" s="76"/>
      <c r="AP68" s="80"/>
      <c r="AQ68" s="89">
        <f t="shared" si="2"/>
        <v>0</v>
      </c>
      <c r="AR68" s="32"/>
      <c r="AS68" s="75"/>
      <c r="AT68" s="76"/>
      <c r="AU68" s="80"/>
      <c r="AV68" s="89">
        <f t="shared" si="3"/>
        <v>0</v>
      </c>
      <c r="AW68" s="30"/>
      <c r="AX68" s="75"/>
      <c r="AY68" s="76"/>
      <c r="AZ68" s="80"/>
      <c r="BA68" s="77">
        <f t="shared" si="4"/>
        <v>13415.478999999999</v>
      </c>
      <c r="BB68" s="9"/>
    </row>
    <row r="69" spans="1:55" x14ac:dyDescent="0.35">
      <c r="A69" s="40"/>
      <c r="B69" s="55"/>
      <c r="C69" s="74"/>
      <c r="D69" s="75"/>
      <c r="E69" s="44"/>
      <c r="F69" s="89"/>
      <c r="G69" s="89"/>
      <c r="H69" s="74"/>
      <c r="I69" s="75"/>
      <c r="J69" s="44"/>
      <c r="K69" s="89"/>
      <c r="L69" s="89"/>
      <c r="M69" s="30"/>
      <c r="N69" s="75"/>
      <c r="O69" s="44"/>
      <c r="P69" s="89"/>
      <c r="Q69" s="89"/>
      <c r="R69" s="30"/>
      <c r="S69" s="75"/>
      <c r="T69" s="44"/>
      <c r="U69" s="89"/>
      <c r="V69" s="89"/>
      <c r="W69" s="30"/>
      <c r="X69" s="75"/>
      <c r="Y69" s="44"/>
      <c r="Z69" s="89"/>
      <c r="AA69" s="89"/>
      <c r="AB69" s="74"/>
      <c r="AC69" s="46"/>
      <c r="AD69" s="75"/>
      <c r="AE69" s="44"/>
      <c r="AF69" s="89"/>
      <c r="AG69" s="89"/>
      <c r="AH69" s="32"/>
      <c r="AI69" s="75"/>
      <c r="AJ69" s="44"/>
      <c r="AK69" s="89"/>
      <c r="AL69" s="89"/>
      <c r="AM69" s="32"/>
      <c r="AN69" s="75"/>
      <c r="AO69" s="44"/>
      <c r="AP69" s="89"/>
      <c r="AQ69" s="89"/>
      <c r="AR69" s="32"/>
      <c r="AS69" s="75"/>
      <c r="AT69" s="44"/>
      <c r="AU69" s="89"/>
      <c r="AV69" s="89"/>
      <c r="AW69" s="30"/>
      <c r="AX69" s="75"/>
      <c r="AY69" s="44"/>
      <c r="AZ69" s="89"/>
      <c r="BA69" s="89"/>
      <c r="BB69" s="9"/>
    </row>
    <row r="70" spans="1:55" s="102" customFormat="1" x14ac:dyDescent="0.35">
      <c r="A70" s="94"/>
      <c r="B70" s="73" t="s">
        <v>92</v>
      </c>
      <c r="C70" s="95"/>
      <c r="D70" s="96"/>
      <c r="E70" s="97"/>
      <c r="F70" s="78"/>
      <c r="G70" s="78">
        <v>599126.31917389005</v>
      </c>
      <c r="H70" s="95"/>
      <c r="I70" s="96"/>
      <c r="J70" s="97"/>
      <c r="K70" s="78"/>
      <c r="L70" s="78">
        <v>141855.11901174445</v>
      </c>
      <c r="M70" s="98"/>
      <c r="N70" s="96"/>
      <c r="O70" s="97"/>
      <c r="P70" s="78"/>
      <c r="Q70" s="78">
        <v>152423.73338738186</v>
      </c>
      <c r="R70" s="98"/>
      <c r="S70" s="96"/>
      <c r="T70" s="97"/>
      <c r="U70" s="78"/>
      <c r="V70" s="78">
        <v>152423.73338738186</v>
      </c>
      <c r="W70" s="98"/>
      <c r="X70" s="96"/>
      <c r="Y70" s="97"/>
      <c r="Z70" s="78"/>
      <c r="AA70" s="78">
        <v>152423.73338738186</v>
      </c>
      <c r="AB70" s="95"/>
      <c r="AC70" s="99"/>
      <c r="AD70" s="96"/>
      <c r="AE70" s="97"/>
      <c r="AF70" s="78"/>
      <c r="AG70" s="78">
        <f>SUM(AG71:AG96)</f>
        <v>100171.659</v>
      </c>
      <c r="AH70" s="100"/>
      <c r="AI70" s="96"/>
      <c r="AJ70" s="97"/>
      <c r="AK70" s="78"/>
      <c r="AL70" s="78">
        <f>SUM(AL71:AL96)</f>
        <v>0</v>
      </c>
      <c r="AM70" s="100"/>
      <c r="AN70" s="96"/>
      <c r="AO70" s="97"/>
      <c r="AP70" s="78"/>
      <c r="AQ70" s="78">
        <f>SUM(AQ71:AQ96)</f>
        <v>0</v>
      </c>
      <c r="AR70" s="100"/>
      <c r="AS70" s="96"/>
      <c r="AT70" s="97"/>
      <c r="AU70" s="78"/>
      <c r="AV70" s="78">
        <f>SUM(AV71:AV96)</f>
        <v>0</v>
      </c>
      <c r="AW70" s="98"/>
      <c r="AX70" s="96"/>
      <c r="AY70" s="97"/>
      <c r="AZ70" s="78"/>
      <c r="BA70" s="78">
        <f>SUM(BA71:BA96)</f>
        <v>100171.659</v>
      </c>
      <c r="BB70" s="9"/>
      <c r="BC70" s="101"/>
    </row>
    <row r="71" spans="1:55" x14ac:dyDescent="0.35">
      <c r="A71" s="40"/>
      <c r="B71" s="79" t="s">
        <v>93</v>
      </c>
      <c r="C71" s="87" t="s">
        <v>27</v>
      </c>
      <c r="D71" s="75" t="s">
        <v>28</v>
      </c>
      <c r="E71" s="76">
        <v>48</v>
      </c>
      <c r="F71" s="80">
        <v>995.21999999999991</v>
      </c>
      <c r="G71" s="77">
        <v>47770.559999999998</v>
      </c>
      <c r="H71" s="87"/>
      <c r="I71" s="75" t="s">
        <v>28</v>
      </c>
      <c r="J71" s="44">
        <v>12</v>
      </c>
      <c r="K71" s="80">
        <v>995.21999999999991</v>
      </c>
      <c r="L71" s="89">
        <v>11942.64</v>
      </c>
      <c r="M71" s="30"/>
      <c r="N71" s="75" t="s">
        <v>28</v>
      </c>
      <c r="O71" s="44">
        <v>12</v>
      </c>
      <c r="P71" s="80">
        <v>995.21999999999991</v>
      </c>
      <c r="Q71" s="89">
        <v>11942.64</v>
      </c>
      <c r="R71" s="30"/>
      <c r="S71" s="75" t="s">
        <v>28</v>
      </c>
      <c r="T71" s="44">
        <v>12</v>
      </c>
      <c r="U71" s="80">
        <v>995.21999999999991</v>
      </c>
      <c r="V71" s="89">
        <v>11942.64</v>
      </c>
      <c r="W71" s="30"/>
      <c r="X71" s="75" t="s">
        <v>28</v>
      </c>
      <c r="Y71" s="44">
        <v>12</v>
      </c>
      <c r="Z71" s="80">
        <v>995.21999999999991</v>
      </c>
      <c r="AA71" s="89">
        <v>11942.64</v>
      </c>
      <c r="AB71" s="87"/>
      <c r="AC71" s="90"/>
      <c r="AD71" s="75"/>
      <c r="AE71" s="44"/>
      <c r="AF71" s="80"/>
      <c r="AG71" s="89">
        <v>8960.2139999999981</v>
      </c>
      <c r="AH71" s="32"/>
      <c r="AI71" s="75"/>
      <c r="AJ71" s="44"/>
      <c r="AK71" s="80"/>
      <c r="AL71" s="89"/>
      <c r="AM71" s="32"/>
      <c r="AN71" s="75"/>
      <c r="AO71" s="44"/>
      <c r="AP71" s="80"/>
      <c r="AQ71" s="89"/>
      <c r="AR71" s="32"/>
      <c r="AS71" s="75"/>
      <c r="AT71" s="44"/>
      <c r="AU71" s="80"/>
      <c r="AV71" s="89"/>
      <c r="AW71" s="30"/>
      <c r="AX71" s="75"/>
      <c r="AY71" s="76"/>
      <c r="AZ71" s="80"/>
      <c r="BA71" s="77">
        <f>AG71+AL71+AQ71+AV71</f>
        <v>8960.2139999999981</v>
      </c>
      <c r="BB71" s="9"/>
    </row>
    <row r="72" spans="1:55" x14ac:dyDescent="0.35">
      <c r="A72" s="40"/>
      <c r="B72" s="79" t="s">
        <v>94</v>
      </c>
      <c r="C72" s="87" t="s">
        <v>27</v>
      </c>
      <c r="D72" s="75" t="s">
        <v>28</v>
      </c>
      <c r="E72" s="76">
        <v>48</v>
      </c>
      <c r="F72" s="80">
        <v>263.33999999999997</v>
      </c>
      <c r="G72" s="77">
        <v>12640.32</v>
      </c>
      <c r="H72" s="87"/>
      <c r="I72" s="75" t="s">
        <v>28</v>
      </c>
      <c r="J72" s="44">
        <v>12</v>
      </c>
      <c r="K72" s="80">
        <v>263.33999999999997</v>
      </c>
      <c r="L72" s="89">
        <v>3160.08</v>
      </c>
      <c r="M72" s="30"/>
      <c r="N72" s="75" t="s">
        <v>28</v>
      </c>
      <c r="O72" s="44">
        <v>12</v>
      </c>
      <c r="P72" s="80">
        <v>263.33999999999997</v>
      </c>
      <c r="Q72" s="89">
        <v>3160.08</v>
      </c>
      <c r="R72" s="30"/>
      <c r="S72" s="75" t="s">
        <v>28</v>
      </c>
      <c r="T72" s="44">
        <v>12</v>
      </c>
      <c r="U72" s="80">
        <v>263.33999999999997</v>
      </c>
      <c r="V72" s="89">
        <v>3160.08</v>
      </c>
      <c r="W72" s="30"/>
      <c r="X72" s="75" t="s">
        <v>28</v>
      </c>
      <c r="Y72" s="44">
        <v>12</v>
      </c>
      <c r="Z72" s="80">
        <v>263.33999999999997</v>
      </c>
      <c r="AA72" s="89">
        <v>3160.08</v>
      </c>
      <c r="AB72" s="87"/>
      <c r="AC72" s="90"/>
      <c r="AD72" s="75"/>
      <c r="AE72" s="44"/>
      <c r="AF72" s="80"/>
      <c r="AG72" s="89">
        <v>4313.4269999999988</v>
      </c>
      <c r="AH72" s="32"/>
      <c r="AI72" s="75"/>
      <c r="AJ72" s="44"/>
      <c r="AK72" s="80"/>
      <c r="AL72" s="89"/>
      <c r="AM72" s="32"/>
      <c r="AN72" s="75"/>
      <c r="AO72" s="44"/>
      <c r="AP72" s="80"/>
      <c r="AQ72" s="89"/>
      <c r="AR72" s="32"/>
      <c r="AS72" s="75"/>
      <c r="AT72" s="44"/>
      <c r="AU72" s="80"/>
      <c r="AV72" s="89"/>
      <c r="AW72" s="30"/>
      <c r="AX72" s="75"/>
      <c r="AY72" s="76"/>
      <c r="AZ72" s="80"/>
      <c r="BA72" s="77">
        <f t="shared" ref="BA72:BA96" si="5">AG72+AL72+AQ72+AV72</f>
        <v>4313.4269999999988</v>
      </c>
      <c r="BB72" s="9"/>
    </row>
    <row r="73" spans="1:55" x14ac:dyDescent="0.35">
      <c r="A73" s="40"/>
      <c r="B73" s="79" t="s">
        <v>95</v>
      </c>
      <c r="C73" s="87" t="s">
        <v>27</v>
      </c>
      <c r="D73" s="75" t="s">
        <v>28</v>
      </c>
      <c r="E73" s="76">
        <v>42</v>
      </c>
      <c r="F73" s="80">
        <v>1524.4901723741038</v>
      </c>
      <c r="G73" s="77">
        <v>64028.58723971236</v>
      </c>
      <c r="H73" s="87"/>
      <c r="I73" s="75" t="s">
        <v>28</v>
      </c>
      <c r="J73" s="44">
        <v>6</v>
      </c>
      <c r="K73" s="80">
        <v>1524.4901723741038</v>
      </c>
      <c r="L73" s="89">
        <v>9146.9410342446226</v>
      </c>
      <c r="M73" s="30"/>
      <c r="N73" s="75" t="s">
        <v>28</v>
      </c>
      <c r="O73" s="44">
        <v>12</v>
      </c>
      <c r="P73" s="80">
        <v>1524.4901723741038</v>
      </c>
      <c r="Q73" s="89">
        <v>18293.882068489245</v>
      </c>
      <c r="R73" s="30"/>
      <c r="S73" s="75" t="s">
        <v>28</v>
      </c>
      <c r="T73" s="44">
        <v>12</v>
      </c>
      <c r="U73" s="80">
        <v>1524.4901723741038</v>
      </c>
      <c r="V73" s="89">
        <v>18293.882068489245</v>
      </c>
      <c r="W73" s="30"/>
      <c r="X73" s="75" t="s">
        <v>28</v>
      </c>
      <c r="Y73" s="44">
        <v>12</v>
      </c>
      <c r="Z73" s="80">
        <v>1524.4901723741038</v>
      </c>
      <c r="AA73" s="89">
        <v>18293.882068489245</v>
      </c>
      <c r="AB73" s="87"/>
      <c r="AC73" s="90"/>
      <c r="AD73" s="75"/>
      <c r="AE73" s="44"/>
      <c r="AF73" s="80"/>
      <c r="AG73" s="89">
        <v>9324.1060000000016</v>
      </c>
      <c r="AH73" s="32"/>
      <c r="AI73" s="75"/>
      <c r="AJ73" s="44"/>
      <c r="AK73" s="80"/>
      <c r="AL73" s="89"/>
      <c r="AM73" s="32"/>
      <c r="AN73" s="75"/>
      <c r="AO73" s="44"/>
      <c r="AP73" s="80"/>
      <c r="AQ73" s="89"/>
      <c r="AR73" s="32"/>
      <c r="AS73" s="75"/>
      <c r="AT73" s="44"/>
      <c r="AU73" s="80"/>
      <c r="AV73" s="89"/>
      <c r="AW73" s="30"/>
      <c r="AX73" s="75"/>
      <c r="AY73" s="76"/>
      <c r="AZ73" s="80"/>
      <c r="BA73" s="77">
        <f t="shared" si="5"/>
        <v>9324.1060000000016</v>
      </c>
      <c r="BB73" s="9"/>
    </row>
    <row r="74" spans="1:55" x14ac:dyDescent="0.35">
      <c r="A74" s="40"/>
      <c r="B74" s="79" t="s">
        <v>96</v>
      </c>
      <c r="C74" s="87" t="s">
        <v>27</v>
      </c>
      <c r="D74" s="75" t="s">
        <v>28</v>
      </c>
      <c r="E74" s="76">
        <v>48</v>
      </c>
      <c r="F74" s="80">
        <v>1524.4901723741038</v>
      </c>
      <c r="G74" s="77">
        <v>73175.528273956981</v>
      </c>
      <c r="H74" s="87"/>
      <c r="I74" s="75" t="s">
        <v>28</v>
      </c>
      <c r="J74" s="44">
        <v>12</v>
      </c>
      <c r="K74" s="80">
        <v>1524.4901723741038</v>
      </c>
      <c r="L74" s="89">
        <v>18293.882068489245</v>
      </c>
      <c r="M74" s="30"/>
      <c r="N74" s="75" t="s">
        <v>28</v>
      </c>
      <c r="O74" s="44">
        <v>12</v>
      </c>
      <c r="P74" s="80">
        <v>1524.4901723741038</v>
      </c>
      <c r="Q74" s="89">
        <v>18293.882068489245</v>
      </c>
      <c r="R74" s="30"/>
      <c r="S74" s="75" t="s">
        <v>28</v>
      </c>
      <c r="T74" s="44">
        <v>12</v>
      </c>
      <c r="U74" s="80">
        <v>1524.4901723741038</v>
      </c>
      <c r="V74" s="89">
        <v>18293.882068489245</v>
      </c>
      <c r="W74" s="30"/>
      <c r="X74" s="75" t="s">
        <v>28</v>
      </c>
      <c r="Y74" s="44">
        <v>12</v>
      </c>
      <c r="Z74" s="80">
        <v>1524.4901723741038</v>
      </c>
      <c r="AA74" s="89">
        <v>18293.882068489245</v>
      </c>
      <c r="AB74" s="87"/>
      <c r="AC74" s="90"/>
      <c r="AD74" s="75"/>
      <c r="AE74" s="44"/>
      <c r="AF74" s="80"/>
      <c r="AG74" s="89">
        <v>3927.7099999999991</v>
      </c>
      <c r="AH74" s="32"/>
      <c r="AI74" s="75"/>
      <c r="AJ74" s="44"/>
      <c r="AK74" s="80"/>
      <c r="AL74" s="89"/>
      <c r="AM74" s="32"/>
      <c r="AN74" s="75"/>
      <c r="AO74" s="44"/>
      <c r="AP74" s="80"/>
      <c r="AQ74" s="89"/>
      <c r="AR74" s="32"/>
      <c r="AS74" s="75"/>
      <c r="AT74" s="44"/>
      <c r="AU74" s="80"/>
      <c r="AV74" s="89"/>
      <c r="AW74" s="30"/>
      <c r="AX74" s="75"/>
      <c r="AY74" s="76"/>
      <c r="AZ74" s="80"/>
      <c r="BA74" s="77">
        <f t="shared" si="5"/>
        <v>3927.7099999999991</v>
      </c>
      <c r="BB74" s="9"/>
    </row>
    <row r="75" spans="1:55" x14ac:dyDescent="0.35">
      <c r="A75" s="40"/>
      <c r="B75" s="103" t="s">
        <v>97</v>
      </c>
      <c r="C75" s="87" t="s">
        <v>27</v>
      </c>
      <c r="D75" s="75" t="s">
        <v>28</v>
      </c>
      <c r="E75" s="76">
        <v>48</v>
      </c>
      <c r="F75" s="80">
        <v>858.22607399439164</v>
      </c>
      <c r="G75" s="77">
        <v>41194.851551730797</v>
      </c>
      <c r="H75" s="87"/>
      <c r="I75" s="75" t="s">
        <v>28</v>
      </c>
      <c r="J75" s="44">
        <v>12</v>
      </c>
      <c r="K75" s="88">
        <v>858.22607399439164</v>
      </c>
      <c r="L75" s="89">
        <v>10298.712887932699</v>
      </c>
      <c r="M75" s="30"/>
      <c r="N75" s="75" t="s">
        <v>28</v>
      </c>
      <c r="O75" s="44">
        <v>12</v>
      </c>
      <c r="P75" s="88">
        <v>858.22607399439164</v>
      </c>
      <c r="Q75" s="89">
        <v>10298.712887932699</v>
      </c>
      <c r="R75" s="30"/>
      <c r="S75" s="75" t="s">
        <v>28</v>
      </c>
      <c r="T75" s="44">
        <v>12</v>
      </c>
      <c r="U75" s="88">
        <v>858.22607399439164</v>
      </c>
      <c r="V75" s="89">
        <v>10298.712887932699</v>
      </c>
      <c r="W75" s="30"/>
      <c r="X75" s="75" t="s">
        <v>28</v>
      </c>
      <c r="Y75" s="44">
        <v>12</v>
      </c>
      <c r="Z75" s="88">
        <v>858.22607399439164</v>
      </c>
      <c r="AA75" s="89">
        <v>10298.712887932699</v>
      </c>
      <c r="AB75" s="87"/>
      <c r="AC75" s="90"/>
      <c r="AD75" s="75"/>
      <c r="AE75" s="44"/>
      <c r="AF75" s="88"/>
      <c r="AG75" s="89">
        <v>27247.884000000002</v>
      </c>
      <c r="AH75" s="32"/>
      <c r="AI75" s="75"/>
      <c r="AJ75" s="44"/>
      <c r="AK75" s="88"/>
      <c r="AL75" s="89"/>
      <c r="AM75" s="32"/>
      <c r="AN75" s="75"/>
      <c r="AO75" s="44"/>
      <c r="AP75" s="88"/>
      <c r="AQ75" s="89"/>
      <c r="AR75" s="32"/>
      <c r="AS75" s="75"/>
      <c r="AT75" s="44"/>
      <c r="AU75" s="88"/>
      <c r="AV75" s="89"/>
      <c r="AW75" s="30"/>
      <c r="AX75" s="75"/>
      <c r="AY75" s="76"/>
      <c r="AZ75" s="80"/>
      <c r="BA75" s="77">
        <f t="shared" si="5"/>
        <v>27247.884000000002</v>
      </c>
      <c r="BB75" s="9"/>
    </row>
    <row r="76" spans="1:55" x14ac:dyDescent="0.35">
      <c r="A76" s="40"/>
      <c r="B76" s="79" t="s">
        <v>98</v>
      </c>
      <c r="C76" s="87" t="s">
        <v>27</v>
      </c>
      <c r="D76" s="75" t="s">
        <v>28</v>
      </c>
      <c r="E76" s="76">
        <v>47</v>
      </c>
      <c r="F76" s="80">
        <v>200</v>
      </c>
      <c r="G76" s="77">
        <v>9400</v>
      </c>
      <c r="H76" s="87"/>
      <c r="I76" s="75" t="s">
        <v>28</v>
      </c>
      <c r="J76" s="44">
        <v>11</v>
      </c>
      <c r="K76" s="80">
        <v>200</v>
      </c>
      <c r="L76" s="89">
        <v>2200</v>
      </c>
      <c r="M76" s="30"/>
      <c r="N76" s="75" t="s">
        <v>28</v>
      </c>
      <c r="O76" s="44">
        <v>12</v>
      </c>
      <c r="P76" s="80">
        <v>200</v>
      </c>
      <c r="Q76" s="89">
        <v>2400</v>
      </c>
      <c r="R76" s="30"/>
      <c r="S76" s="75" t="s">
        <v>28</v>
      </c>
      <c r="T76" s="44">
        <v>12</v>
      </c>
      <c r="U76" s="80">
        <v>200</v>
      </c>
      <c r="V76" s="89">
        <v>2400</v>
      </c>
      <c r="W76" s="30"/>
      <c r="X76" s="75" t="s">
        <v>28</v>
      </c>
      <c r="Y76" s="44">
        <v>12</v>
      </c>
      <c r="Z76" s="80">
        <v>200</v>
      </c>
      <c r="AA76" s="89">
        <v>2400</v>
      </c>
      <c r="AB76" s="87"/>
      <c r="AC76" s="90"/>
      <c r="AD76" s="75"/>
      <c r="AE76" s="44"/>
      <c r="AF76" s="80"/>
      <c r="AG76" s="89">
        <v>1419.29</v>
      </c>
      <c r="AH76" s="32"/>
      <c r="AI76" s="75"/>
      <c r="AJ76" s="44"/>
      <c r="AK76" s="80"/>
      <c r="AL76" s="89"/>
      <c r="AM76" s="32"/>
      <c r="AN76" s="75"/>
      <c r="AO76" s="44"/>
      <c r="AP76" s="80"/>
      <c r="AQ76" s="89"/>
      <c r="AR76" s="32"/>
      <c r="AS76" s="75"/>
      <c r="AT76" s="44"/>
      <c r="AU76" s="80"/>
      <c r="AV76" s="89"/>
      <c r="AW76" s="30"/>
      <c r="AX76" s="75"/>
      <c r="AY76" s="76"/>
      <c r="AZ76" s="80"/>
      <c r="BA76" s="77">
        <f t="shared" si="5"/>
        <v>1419.29</v>
      </c>
      <c r="BB76" s="9"/>
    </row>
    <row r="77" spans="1:55" x14ac:dyDescent="0.35">
      <c r="A77" s="40"/>
      <c r="B77" s="79" t="s">
        <v>99</v>
      </c>
      <c r="C77" s="87" t="s">
        <v>27</v>
      </c>
      <c r="D77" s="75" t="s">
        <v>28</v>
      </c>
      <c r="E77" s="76">
        <v>4</v>
      </c>
      <c r="F77" s="80">
        <v>762.24508618705192</v>
      </c>
      <c r="G77" s="77">
        <v>3048.9803447482077</v>
      </c>
      <c r="H77" s="87"/>
      <c r="I77" s="75" t="s">
        <v>28</v>
      </c>
      <c r="J77" s="44">
        <v>1</v>
      </c>
      <c r="K77" s="80">
        <v>762.24508618705192</v>
      </c>
      <c r="L77" s="89">
        <v>762.24508618705192</v>
      </c>
      <c r="M77" s="30"/>
      <c r="N77" s="75" t="s">
        <v>28</v>
      </c>
      <c r="O77" s="44">
        <v>1</v>
      </c>
      <c r="P77" s="80">
        <v>762.24508618705192</v>
      </c>
      <c r="Q77" s="89">
        <v>762.24508618705192</v>
      </c>
      <c r="R77" s="30"/>
      <c r="S77" s="75" t="s">
        <v>28</v>
      </c>
      <c r="T77" s="44">
        <v>1</v>
      </c>
      <c r="U77" s="80">
        <v>762.24508618705192</v>
      </c>
      <c r="V77" s="89">
        <v>762.24508618705192</v>
      </c>
      <c r="W77" s="30"/>
      <c r="X77" s="75" t="s">
        <v>28</v>
      </c>
      <c r="Y77" s="44">
        <v>1</v>
      </c>
      <c r="Z77" s="80">
        <v>762.24508618705192</v>
      </c>
      <c r="AA77" s="89">
        <v>762.24508618705192</v>
      </c>
      <c r="AB77" s="87"/>
      <c r="AC77" s="90"/>
      <c r="AD77" s="75"/>
      <c r="AE77" s="44"/>
      <c r="AF77" s="80"/>
      <c r="AG77" s="89">
        <v>395.55099999999999</v>
      </c>
      <c r="AH77" s="32"/>
      <c r="AI77" s="75"/>
      <c r="AJ77" s="44"/>
      <c r="AK77" s="80"/>
      <c r="AL77" s="89"/>
      <c r="AM77" s="32"/>
      <c r="AN77" s="75"/>
      <c r="AO77" s="44"/>
      <c r="AP77" s="80"/>
      <c r="AQ77" s="89"/>
      <c r="AR77" s="32"/>
      <c r="AS77" s="75"/>
      <c r="AT77" s="44"/>
      <c r="AU77" s="80"/>
      <c r="AV77" s="89"/>
      <c r="AW77" s="30"/>
      <c r="AX77" s="75"/>
      <c r="AY77" s="76"/>
      <c r="AZ77" s="80"/>
      <c r="BA77" s="77">
        <f t="shared" si="5"/>
        <v>395.55099999999999</v>
      </c>
      <c r="BB77" s="9"/>
    </row>
    <row r="78" spans="1:55" x14ac:dyDescent="0.35">
      <c r="A78" s="40"/>
      <c r="B78" s="79" t="s">
        <v>100</v>
      </c>
      <c r="C78" s="87" t="s">
        <v>27</v>
      </c>
      <c r="D78" s="75" t="s">
        <v>28</v>
      </c>
      <c r="E78" s="76">
        <v>47</v>
      </c>
      <c r="F78" s="80">
        <v>30.489803447482075</v>
      </c>
      <c r="G78" s="77">
        <v>1433.0207620316576</v>
      </c>
      <c r="H78" s="87"/>
      <c r="I78" s="75" t="s">
        <v>28</v>
      </c>
      <c r="J78" s="44">
        <v>11</v>
      </c>
      <c r="K78" s="80">
        <v>30.489803447482075</v>
      </c>
      <c r="L78" s="89">
        <v>335.38783792230282</v>
      </c>
      <c r="M78" s="30"/>
      <c r="N78" s="75" t="s">
        <v>28</v>
      </c>
      <c r="O78" s="44">
        <v>12</v>
      </c>
      <c r="P78" s="80">
        <v>30.489803447482075</v>
      </c>
      <c r="Q78" s="89">
        <v>365.8776413697849</v>
      </c>
      <c r="R78" s="30"/>
      <c r="S78" s="75" t="s">
        <v>28</v>
      </c>
      <c r="T78" s="44">
        <v>12</v>
      </c>
      <c r="U78" s="80">
        <v>30.489803447482075</v>
      </c>
      <c r="V78" s="89">
        <v>365.8776413697849</v>
      </c>
      <c r="W78" s="30"/>
      <c r="X78" s="75" t="s">
        <v>28</v>
      </c>
      <c r="Y78" s="44">
        <v>12</v>
      </c>
      <c r="Z78" s="80">
        <v>30.489803447482075</v>
      </c>
      <c r="AA78" s="89">
        <v>365.8776413697849</v>
      </c>
      <c r="AB78" s="87"/>
      <c r="AC78" s="90"/>
      <c r="AD78" s="75"/>
      <c r="AE78" s="44"/>
      <c r="AF78" s="80"/>
      <c r="AG78" s="89">
        <v>1478.836</v>
      </c>
      <c r="AH78" s="32"/>
      <c r="AI78" s="75"/>
      <c r="AJ78" s="44"/>
      <c r="AK78" s="80"/>
      <c r="AL78" s="89"/>
      <c r="AM78" s="32"/>
      <c r="AN78" s="75"/>
      <c r="AO78" s="44"/>
      <c r="AP78" s="80"/>
      <c r="AQ78" s="89"/>
      <c r="AR78" s="32"/>
      <c r="AS78" s="75"/>
      <c r="AT78" s="44"/>
      <c r="AU78" s="80"/>
      <c r="AV78" s="89"/>
      <c r="AW78" s="30"/>
      <c r="AX78" s="75"/>
      <c r="AY78" s="76"/>
      <c r="AZ78" s="80"/>
      <c r="BA78" s="77">
        <f t="shared" si="5"/>
        <v>1478.836</v>
      </c>
      <c r="BB78" s="9"/>
    </row>
    <row r="79" spans="1:55" x14ac:dyDescent="0.35">
      <c r="A79" s="40"/>
      <c r="B79" s="79" t="s">
        <v>101</v>
      </c>
      <c r="C79" s="87" t="s">
        <v>65</v>
      </c>
      <c r="D79" s="75" t="s">
        <v>28</v>
      </c>
      <c r="E79" s="76">
        <v>141</v>
      </c>
      <c r="F79" s="80">
        <v>200</v>
      </c>
      <c r="G79" s="77">
        <v>28200</v>
      </c>
      <c r="H79" s="87"/>
      <c r="I79" s="75" t="s">
        <v>28</v>
      </c>
      <c r="J79" s="44">
        <v>33</v>
      </c>
      <c r="K79" s="80">
        <v>200</v>
      </c>
      <c r="L79" s="89">
        <v>6600</v>
      </c>
      <c r="M79" s="30"/>
      <c r="N79" s="75" t="s">
        <v>28</v>
      </c>
      <c r="O79" s="44">
        <v>36</v>
      </c>
      <c r="P79" s="80">
        <v>200</v>
      </c>
      <c r="Q79" s="89">
        <v>7200</v>
      </c>
      <c r="R79" s="30"/>
      <c r="S79" s="75" t="s">
        <v>28</v>
      </c>
      <c r="T79" s="44">
        <v>36</v>
      </c>
      <c r="U79" s="80">
        <v>200</v>
      </c>
      <c r="V79" s="89">
        <v>7200</v>
      </c>
      <c r="W79" s="30"/>
      <c r="X79" s="75" t="s">
        <v>28</v>
      </c>
      <c r="Y79" s="44">
        <v>36</v>
      </c>
      <c r="Z79" s="80">
        <v>200</v>
      </c>
      <c r="AA79" s="89">
        <v>7200</v>
      </c>
      <c r="AB79" s="87"/>
      <c r="AC79" s="90"/>
      <c r="AD79" s="75"/>
      <c r="AE79" s="44"/>
      <c r="AF79" s="80"/>
      <c r="AG79" s="89">
        <v>1941.886</v>
      </c>
      <c r="AH79" s="32"/>
      <c r="AI79" s="75"/>
      <c r="AJ79" s="44"/>
      <c r="AK79" s="80"/>
      <c r="AL79" s="89"/>
      <c r="AM79" s="32"/>
      <c r="AN79" s="75"/>
      <c r="AO79" s="44"/>
      <c r="AP79" s="80"/>
      <c r="AQ79" s="89"/>
      <c r="AR79" s="32"/>
      <c r="AS79" s="75"/>
      <c r="AT79" s="44"/>
      <c r="AU79" s="80"/>
      <c r="AV79" s="89"/>
      <c r="AW79" s="30"/>
      <c r="AX79" s="75"/>
      <c r="AY79" s="76"/>
      <c r="AZ79" s="80"/>
      <c r="BA79" s="77">
        <f t="shared" si="5"/>
        <v>1941.886</v>
      </c>
      <c r="BB79" s="9"/>
    </row>
    <row r="80" spans="1:55" x14ac:dyDescent="0.35">
      <c r="A80" s="40"/>
      <c r="B80" s="79" t="s">
        <v>99</v>
      </c>
      <c r="C80" s="87" t="s">
        <v>65</v>
      </c>
      <c r="D80" s="75" t="s">
        <v>28</v>
      </c>
      <c r="E80" s="76">
        <v>12</v>
      </c>
      <c r="F80" s="80">
        <v>609.79606894964149</v>
      </c>
      <c r="G80" s="77">
        <v>7317.5528273956979</v>
      </c>
      <c r="H80" s="87"/>
      <c r="I80" s="75" t="s">
        <v>28</v>
      </c>
      <c r="J80" s="44">
        <v>3</v>
      </c>
      <c r="K80" s="80">
        <v>609.79606894964149</v>
      </c>
      <c r="L80" s="89">
        <v>1829.3882068489245</v>
      </c>
      <c r="M80" s="30"/>
      <c r="N80" s="75" t="s">
        <v>28</v>
      </c>
      <c r="O80" s="44">
        <v>3</v>
      </c>
      <c r="P80" s="80">
        <v>609.79606894964149</v>
      </c>
      <c r="Q80" s="89">
        <v>1829.3882068489245</v>
      </c>
      <c r="R80" s="30"/>
      <c r="S80" s="75" t="s">
        <v>28</v>
      </c>
      <c r="T80" s="44">
        <v>3</v>
      </c>
      <c r="U80" s="80">
        <v>609.79606894964149</v>
      </c>
      <c r="V80" s="89">
        <v>1829.3882068489245</v>
      </c>
      <c r="W80" s="30"/>
      <c r="X80" s="75" t="s">
        <v>28</v>
      </c>
      <c r="Y80" s="44">
        <v>3</v>
      </c>
      <c r="Z80" s="80">
        <v>609.79606894964149</v>
      </c>
      <c r="AA80" s="89">
        <v>1829.3882068489245</v>
      </c>
      <c r="AB80" s="87"/>
      <c r="AC80" s="90"/>
      <c r="AD80" s="75"/>
      <c r="AE80" s="44"/>
      <c r="AF80" s="80"/>
      <c r="AG80" s="89">
        <v>1186.653</v>
      </c>
      <c r="AH80" s="32"/>
      <c r="AI80" s="75"/>
      <c r="AJ80" s="44"/>
      <c r="AK80" s="80"/>
      <c r="AL80" s="89"/>
      <c r="AM80" s="32"/>
      <c r="AN80" s="75"/>
      <c r="AO80" s="44"/>
      <c r="AP80" s="80"/>
      <c r="AQ80" s="89"/>
      <c r="AR80" s="32"/>
      <c r="AS80" s="75"/>
      <c r="AT80" s="44"/>
      <c r="AU80" s="80"/>
      <c r="AV80" s="89"/>
      <c r="AW80" s="30"/>
      <c r="AX80" s="75"/>
      <c r="AY80" s="76"/>
      <c r="AZ80" s="80"/>
      <c r="BA80" s="77">
        <f t="shared" si="5"/>
        <v>1186.653</v>
      </c>
      <c r="BB80" s="9"/>
    </row>
    <row r="81" spans="1:54" x14ac:dyDescent="0.35">
      <c r="A81" s="40"/>
      <c r="B81" s="79" t="s">
        <v>100</v>
      </c>
      <c r="C81" s="87" t="s">
        <v>65</v>
      </c>
      <c r="D81" s="75" t="s">
        <v>28</v>
      </c>
      <c r="E81" s="76">
        <v>141</v>
      </c>
      <c r="F81" s="80">
        <v>30.489803447482075</v>
      </c>
      <c r="G81" s="77">
        <v>4299.0622860949725</v>
      </c>
      <c r="H81" s="87"/>
      <c r="I81" s="75" t="s">
        <v>28</v>
      </c>
      <c r="J81" s="44">
        <v>33</v>
      </c>
      <c r="K81" s="80">
        <v>30.489803447482075</v>
      </c>
      <c r="L81" s="89">
        <v>1006.1635137669084</v>
      </c>
      <c r="M81" s="30"/>
      <c r="N81" s="75" t="s">
        <v>28</v>
      </c>
      <c r="O81" s="44">
        <v>36</v>
      </c>
      <c r="P81" s="80">
        <v>30.489803447482075</v>
      </c>
      <c r="Q81" s="89">
        <v>1097.6329241093547</v>
      </c>
      <c r="R81" s="30"/>
      <c r="S81" s="75" t="s">
        <v>28</v>
      </c>
      <c r="T81" s="44">
        <v>36</v>
      </c>
      <c r="U81" s="80">
        <v>30.489803447482075</v>
      </c>
      <c r="V81" s="89">
        <v>1097.6329241093547</v>
      </c>
      <c r="W81" s="30"/>
      <c r="X81" s="75" t="s">
        <v>28</v>
      </c>
      <c r="Y81" s="44">
        <v>36</v>
      </c>
      <c r="Z81" s="80">
        <v>30.489803447482075</v>
      </c>
      <c r="AA81" s="89">
        <v>1097.6329241093547</v>
      </c>
      <c r="AB81" s="87"/>
      <c r="AC81" s="90"/>
      <c r="AD81" s="75"/>
      <c r="AE81" s="44"/>
      <c r="AF81" s="80"/>
      <c r="AG81" s="89">
        <v>135.15899999999999</v>
      </c>
      <c r="AH81" s="32"/>
      <c r="AI81" s="75"/>
      <c r="AJ81" s="44"/>
      <c r="AK81" s="80"/>
      <c r="AL81" s="89"/>
      <c r="AM81" s="32"/>
      <c r="AN81" s="75"/>
      <c r="AO81" s="44"/>
      <c r="AP81" s="80"/>
      <c r="AQ81" s="89"/>
      <c r="AR81" s="32"/>
      <c r="AS81" s="75"/>
      <c r="AT81" s="44"/>
      <c r="AU81" s="80"/>
      <c r="AV81" s="89"/>
      <c r="AW81" s="30"/>
      <c r="AX81" s="75"/>
      <c r="AY81" s="76"/>
      <c r="AZ81" s="80"/>
      <c r="BA81" s="77">
        <f t="shared" si="5"/>
        <v>135.15899999999999</v>
      </c>
      <c r="BB81" s="9"/>
    </row>
    <row r="82" spans="1:54" x14ac:dyDescent="0.35">
      <c r="A82" s="40"/>
      <c r="B82" s="103" t="s">
        <v>102</v>
      </c>
      <c r="C82" s="74" t="s">
        <v>27</v>
      </c>
      <c r="D82" s="75" t="s">
        <v>103</v>
      </c>
      <c r="E82" s="76">
        <v>36</v>
      </c>
      <c r="F82" s="80">
        <v>76</v>
      </c>
      <c r="G82" s="77">
        <v>2736</v>
      </c>
      <c r="H82" s="74"/>
      <c r="I82" s="75" t="s">
        <v>103</v>
      </c>
      <c r="J82" s="76">
        <v>9</v>
      </c>
      <c r="K82" s="77">
        <v>76</v>
      </c>
      <c r="L82" s="89">
        <v>684</v>
      </c>
      <c r="M82" s="30"/>
      <c r="N82" s="75" t="s">
        <v>103</v>
      </c>
      <c r="O82" s="76">
        <v>9</v>
      </c>
      <c r="P82" s="77">
        <v>76</v>
      </c>
      <c r="Q82" s="89">
        <v>684</v>
      </c>
      <c r="R82" s="30"/>
      <c r="S82" s="75" t="s">
        <v>103</v>
      </c>
      <c r="T82" s="76">
        <v>9</v>
      </c>
      <c r="U82" s="77">
        <v>76</v>
      </c>
      <c r="V82" s="89">
        <v>684</v>
      </c>
      <c r="W82" s="30"/>
      <c r="X82" s="75" t="s">
        <v>103</v>
      </c>
      <c r="Y82" s="76">
        <v>9</v>
      </c>
      <c r="Z82" s="77">
        <v>76</v>
      </c>
      <c r="AA82" s="89">
        <v>684</v>
      </c>
      <c r="AB82" s="74"/>
      <c r="AC82" s="46"/>
      <c r="AD82" s="75"/>
      <c r="AE82" s="76"/>
      <c r="AF82" s="77"/>
      <c r="AG82" s="89">
        <v>79.277000000000001</v>
      </c>
      <c r="AH82" s="32"/>
      <c r="AI82" s="75"/>
      <c r="AJ82" s="76"/>
      <c r="AK82" s="77"/>
      <c r="AL82" s="89"/>
      <c r="AM82" s="32"/>
      <c r="AN82" s="75"/>
      <c r="AO82" s="76"/>
      <c r="AP82" s="77"/>
      <c r="AQ82" s="89"/>
      <c r="AR82" s="32"/>
      <c r="AS82" s="75"/>
      <c r="AT82" s="76"/>
      <c r="AU82" s="77"/>
      <c r="AV82" s="89"/>
      <c r="AW82" s="30"/>
      <c r="AX82" s="75"/>
      <c r="AY82" s="76"/>
      <c r="AZ82" s="80"/>
      <c r="BA82" s="77">
        <f>AG82+AL82+AQ82+AV82</f>
        <v>79.277000000000001</v>
      </c>
      <c r="BB82" s="9"/>
    </row>
    <row r="83" spans="1:54" x14ac:dyDescent="0.35">
      <c r="A83" s="40"/>
      <c r="B83" s="79" t="s">
        <v>104</v>
      </c>
      <c r="C83" s="87" t="s">
        <v>27</v>
      </c>
      <c r="D83" s="75" t="s">
        <v>28</v>
      </c>
      <c r="E83" s="76">
        <v>188</v>
      </c>
      <c r="F83" s="80">
        <v>76</v>
      </c>
      <c r="G83" s="77">
        <v>14288</v>
      </c>
      <c r="H83" s="87"/>
      <c r="I83" s="75" t="s">
        <v>28</v>
      </c>
      <c r="J83" s="44">
        <v>44</v>
      </c>
      <c r="K83" s="80">
        <v>76</v>
      </c>
      <c r="L83" s="89">
        <v>3344</v>
      </c>
      <c r="M83" s="30"/>
      <c r="N83" s="75" t="s">
        <v>28</v>
      </c>
      <c r="O83" s="44">
        <v>48</v>
      </c>
      <c r="P83" s="80">
        <v>76</v>
      </c>
      <c r="Q83" s="89">
        <v>3648</v>
      </c>
      <c r="R83" s="30"/>
      <c r="S83" s="75" t="s">
        <v>28</v>
      </c>
      <c r="T83" s="44">
        <v>48</v>
      </c>
      <c r="U83" s="80">
        <v>76</v>
      </c>
      <c r="V83" s="89">
        <v>3648</v>
      </c>
      <c r="W83" s="30"/>
      <c r="X83" s="75" t="s">
        <v>28</v>
      </c>
      <c r="Y83" s="44">
        <v>48</v>
      </c>
      <c r="Z83" s="80">
        <v>76</v>
      </c>
      <c r="AA83" s="89">
        <v>3648</v>
      </c>
      <c r="AB83" s="87"/>
      <c r="AC83" s="90"/>
      <c r="AD83" s="75"/>
      <c r="AE83" s="44"/>
      <c r="AF83" s="80"/>
      <c r="AG83" s="89">
        <v>571.07399999999996</v>
      </c>
      <c r="AH83" s="32"/>
      <c r="AI83" s="75"/>
      <c r="AJ83" s="44"/>
      <c r="AK83" s="80"/>
      <c r="AL83" s="89"/>
      <c r="AM83" s="32"/>
      <c r="AN83" s="75"/>
      <c r="AO83" s="44"/>
      <c r="AP83" s="80"/>
      <c r="AQ83" s="89"/>
      <c r="AR83" s="32"/>
      <c r="AS83" s="75"/>
      <c r="AT83" s="44"/>
      <c r="AU83" s="80"/>
      <c r="AV83" s="89"/>
      <c r="AW83" s="30"/>
      <c r="AX83" s="75"/>
      <c r="AY83" s="76"/>
      <c r="AZ83" s="80"/>
      <c r="BA83" s="77">
        <f t="shared" si="5"/>
        <v>571.07399999999996</v>
      </c>
      <c r="BB83" s="9"/>
    </row>
    <row r="84" spans="1:54" x14ac:dyDescent="0.35">
      <c r="A84" s="40"/>
      <c r="B84" s="79" t="s">
        <v>105</v>
      </c>
      <c r="C84" s="87" t="s">
        <v>65</v>
      </c>
      <c r="D84" s="75" t="s">
        <v>28</v>
      </c>
      <c r="E84" s="76">
        <v>517</v>
      </c>
      <c r="F84" s="80">
        <v>76</v>
      </c>
      <c r="G84" s="77">
        <v>39292</v>
      </c>
      <c r="H84" s="87"/>
      <c r="I84" s="75" t="s">
        <v>28</v>
      </c>
      <c r="J84" s="44">
        <v>121</v>
      </c>
      <c r="K84" s="80">
        <v>76</v>
      </c>
      <c r="L84" s="89">
        <v>9196</v>
      </c>
      <c r="M84" s="30"/>
      <c r="N84" s="75" t="s">
        <v>28</v>
      </c>
      <c r="O84" s="44">
        <v>132</v>
      </c>
      <c r="P84" s="80">
        <v>76</v>
      </c>
      <c r="Q84" s="89">
        <v>10032</v>
      </c>
      <c r="R84" s="30"/>
      <c r="S84" s="75" t="s">
        <v>28</v>
      </c>
      <c r="T84" s="44">
        <v>132</v>
      </c>
      <c r="U84" s="80">
        <v>76</v>
      </c>
      <c r="V84" s="89">
        <v>10032</v>
      </c>
      <c r="W84" s="30"/>
      <c r="X84" s="75" t="s">
        <v>28</v>
      </c>
      <c r="Y84" s="44">
        <v>132</v>
      </c>
      <c r="Z84" s="80">
        <v>76</v>
      </c>
      <c r="AA84" s="89">
        <v>10032</v>
      </c>
      <c r="AB84" s="87"/>
      <c r="AC84" s="90"/>
      <c r="AD84" s="75"/>
      <c r="AE84" s="44"/>
      <c r="AF84" s="80"/>
      <c r="AG84" s="89">
        <v>3060.3309999999997</v>
      </c>
      <c r="AH84" s="32"/>
      <c r="AI84" s="75"/>
      <c r="AJ84" s="44"/>
      <c r="AK84" s="80"/>
      <c r="AL84" s="89"/>
      <c r="AM84" s="32"/>
      <c r="AN84" s="75"/>
      <c r="AO84" s="44"/>
      <c r="AP84" s="80"/>
      <c r="AQ84" s="89"/>
      <c r="AR84" s="32"/>
      <c r="AS84" s="75"/>
      <c r="AT84" s="44"/>
      <c r="AU84" s="80"/>
      <c r="AV84" s="89"/>
      <c r="AW84" s="30"/>
      <c r="AX84" s="75"/>
      <c r="AY84" s="76"/>
      <c r="AZ84" s="80"/>
      <c r="BA84" s="77">
        <f t="shared" si="5"/>
        <v>3060.3309999999997</v>
      </c>
      <c r="BB84" s="9"/>
    </row>
    <row r="85" spans="1:54" x14ac:dyDescent="0.35">
      <c r="A85" s="40"/>
      <c r="B85" s="79" t="s">
        <v>106</v>
      </c>
      <c r="C85" s="87" t="s">
        <v>27</v>
      </c>
      <c r="D85" s="75" t="s">
        <v>107</v>
      </c>
      <c r="E85" s="76">
        <v>16</v>
      </c>
      <c r="F85" s="80">
        <v>76.224508618705187</v>
      </c>
      <c r="G85" s="77">
        <v>1219.592137899283</v>
      </c>
      <c r="H85" s="87"/>
      <c r="I85" s="75" t="s">
        <v>107</v>
      </c>
      <c r="J85" s="44">
        <v>4</v>
      </c>
      <c r="K85" s="80">
        <v>76.224508618705187</v>
      </c>
      <c r="L85" s="89">
        <v>304.89803447482075</v>
      </c>
      <c r="M85" s="30"/>
      <c r="N85" s="75" t="s">
        <v>107</v>
      </c>
      <c r="O85" s="44">
        <v>4</v>
      </c>
      <c r="P85" s="80">
        <v>76.224508618705187</v>
      </c>
      <c r="Q85" s="89">
        <v>304.89803447482075</v>
      </c>
      <c r="R85" s="30"/>
      <c r="S85" s="75" t="s">
        <v>107</v>
      </c>
      <c r="T85" s="44">
        <v>4</v>
      </c>
      <c r="U85" s="80">
        <v>76.224508618705187</v>
      </c>
      <c r="V85" s="89">
        <v>304.89803447482075</v>
      </c>
      <c r="W85" s="30"/>
      <c r="X85" s="75" t="s">
        <v>107</v>
      </c>
      <c r="Y85" s="44">
        <v>4</v>
      </c>
      <c r="Z85" s="80">
        <v>76.224508618705187</v>
      </c>
      <c r="AA85" s="89">
        <v>304.89803447482075</v>
      </c>
      <c r="AB85" s="87"/>
      <c r="AC85" s="90"/>
      <c r="AD85" s="75"/>
      <c r="AE85" s="44"/>
      <c r="AF85" s="80"/>
      <c r="AG85" s="89">
        <v>198.261</v>
      </c>
      <c r="AH85" s="32"/>
      <c r="AI85" s="75"/>
      <c r="AJ85" s="44"/>
      <c r="AK85" s="80"/>
      <c r="AL85" s="89"/>
      <c r="AM85" s="32"/>
      <c r="AN85" s="75"/>
      <c r="AO85" s="44"/>
      <c r="AP85" s="80"/>
      <c r="AQ85" s="89"/>
      <c r="AR85" s="32"/>
      <c r="AS85" s="75"/>
      <c r="AT85" s="44"/>
      <c r="AU85" s="80"/>
      <c r="AV85" s="89"/>
      <c r="AW85" s="30"/>
      <c r="AX85" s="75"/>
      <c r="AY85" s="76"/>
      <c r="AZ85" s="80"/>
      <c r="BA85" s="77">
        <f t="shared" si="5"/>
        <v>198.261</v>
      </c>
      <c r="BB85" s="9"/>
    </row>
    <row r="86" spans="1:54" x14ac:dyDescent="0.35">
      <c r="A86" s="40"/>
      <c r="B86" s="79" t="s">
        <v>108</v>
      </c>
      <c r="C86" s="87" t="s">
        <v>65</v>
      </c>
      <c r="D86" s="75" t="s">
        <v>107</v>
      </c>
      <c r="E86" s="76">
        <v>44</v>
      </c>
      <c r="F86" s="80">
        <v>76.224508618705187</v>
      </c>
      <c r="G86" s="77">
        <v>3353.8783792230283</v>
      </c>
      <c r="H86" s="87"/>
      <c r="I86" s="75" t="s">
        <v>107</v>
      </c>
      <c r="J86" s="44">
        <v>11</v>
      </c>
      <c r="K86" s="80">
        <v>76.224508618705187</v>
      </c>
      <c r="L86" s="89">
        <v>838.46959480575708</v>
      </c>
      <c r="M86" s="30"/>
      <c r="N86" s="75" t="s">
        <v>107</v>
      </c>
      <c r="O86" s="44">
        <v>11</v>
      </c>
      <c r="P86" s="80">
        <v>76.224508618705187</v>
      </c>
      <c r="Q86" s="89">
        <v>838.46959480575708</v>
      </c>
      <c r="R86" s="30"/>
      <c r="S86" s="75" t="s">
        <v>107</v>
      </c>
      <c r="T86" s="44">
        <v>11</v>
      </c>
      <c r="U86" s="80">
        <v>76.224508618705187</v>
      </c>
      <c r="V86" s="89">
        <v>838.46959480575708</v>
      </c>
      <c r="W86" s="30"/>
      <c r="X86" s="75" t="s">
        <v>107</v>
      </c>
      <c r="Y86" s="44">
        <v>11</v>
      </c>
      <c r="Z86" s="80">
        <v>76.224508618705187</v>
      </c>
      <c r="AA86" s="89">
        <v>838.46959480575708</v>
      </c>
      <c r="AB86" s="87"/>
      <c r="AC86" s="90"/>
      <c r="AD86" s="75"/>
      <c r="AE86" s="44"/>
      <c r="AF86" s="80"/>
      <c r="AG86" s="89">
        <v>0</v>
      </c>
      <c r="AH86" s="32"/>
      <c r="AI86" s="75"/>
      <c r="AJ86" s="44"/>
      <c r="AK86" s="80"/>
      <c r="AL86" s="89"/>
      <c r="AM86" s="32"/>
      <c r="AN86" s="75"/>
      <c r="AO86" s="44"/>
      <c r="AP86" s="80"/>
      <c r="AQ86" s="89"/>
      <c r="AR86" s="32"/>
      <c r="AS86" s="75"/>
      <c r="AT86" s="44"/>
      <c r="AU86" s="80"/>
      <c r="AV86" s="89"/>
      <c r="AW86" s="30"/>
      <c r="AX86" s="75"/>
      <c r="AY86" s="76"/>
      <c r="AZ86" s="80"/>
      <c r="BA86" s="77">
        <f t="shared" si="5"/>
        <v>0</v>
      </c>
      <c r="BB86" s="9"/>
    </row>
    <row r="87" spans="1:54" x14ac:dyDescent="0.35">
      <c r="A87" s="40"/>
      <c r="B87" s="79" t="s">
        <v>109</v>
      </c>
      <c r="C87" s="87" t="s">
        <v>27</v>
      </c>
      <c r="D87" s="75" t="s">
        <v>28</v>
      </c>
      <c r="E87" s="76">
        <v>188</v>
      </c>
      <c r="F87" s="80">
        <v>15.244901723741037</v>
      </c>
      <c r="G87" s="77">
        <v>2866.0415240633151</v>
      </c>
      <c r="H87" s="87"/>
      <c r="I87" s="75" t="s">
        <v>28</v>
      </c>
      <c r="J87" s="44">
        <v>44</v>
      </c>
      <c r="K87" s="80">
        <v>15.244901723741037</v>
      </c>
      <c r="L87" s="89">
        <v>670.77567584460564</v>
      </c>
      <c r="M87" s="30"/>
      <c r="N87" s="75" t="s">
        <v>28</v>
      </c>
      <c r="O87" s="44">
        <v>48</v>
      </c>
      <c r="P87" s="80">
        <v>15.244901723741037</v>
      </c>
      <c r="Q87" s="89">
        <v>731.75528273956979</v>
      </c>
      <c r="R87" s="30"/>
      <c r="S87" s="75" t="s">
        <v>28</v>
      </c>
      <c r="T87" s="44">
        <v>48</v>
      </c>
      <c r="U87" s="80">
        <v>15.244901723741037</v>
      </c>
      <c r="V87" s="89">
        <v>731.75528273956979</v>
      </c>
      <c r="W87" s="30"/>
      <c r="X87" s="75" t="s">
        <v>28</v>
      </c>
      <c r="Y87" s="44">
        <v>48</v>
      </c>
      <c r="Z87" s="80">
        <v>15.244901723741037</v>
      </c>
      <c r="AA87" s="89">
        <v>731.75528273956979</v>
      </c>
      <c r="AB87" s="87"/>
      <c r="AC87" s="90"/>
      <c r="AD87" s="75"/>
      <c r="AE87" s="44"/>
      <c r="AF87" s="80"/>
      <c r="AG87" s="89">
        <v>3.0510000000000002</v>
      </c>
      <c r="AH87" s="32"/>
      <c r="AI87" s="75"/>
      <c r="AJ87" s="44"/>
      <c r="AK87" s="80"/>
      <c r="AL87" s="89"/>
      <c r="AM87" s="32"/>
      <c r="AN87" s="75"/>
      <c r="AO87" s="44"/>
      <c r="AP87" s="80"/>
      <c r="AQ87" s="89"/>
      <c r="AR87" s="32"/>
      <c r="AS87" s="75"/>
      <c r="AT87" s="44"/>
      <c r="AU87" s="80"/>
      <c r="AV87" s="89"/>
      <c r="AW87" s="30"/>
      <c r="AX87" s="75"/>
      <c r="AY87" s="76"/>
      <c r="AZ87" s="80"/>
      <c r="BA87" s="77">
        <f t="shared" si="5"/>
        <v>3.0510000000000002</v>
      </c>
      <c r="BB87" s="9"/>
    </row>
    <row r="88" spans="1:54" x14ac:dyDescent="0.35">
      <c r="A88" s="40"/>
      <c r="B88" s="79" t="s">
        <v>110</v>
      </c>
      <c r="C88" s="87" t="s">
        <v>65</v>
      </c>
      <c r="D88" s="75" t="s">
        <v>28</v>
      </c>
      <c r="E88" s="76">
        <v>517</v>
      </c>
      <c r="F88" s="80">
        <v>15.244901723741037</v>
      </c>
      <c r="G88" s="77">
        <v>7881.6141911741161</v>
      </c>
      <c r="H88" s="87"/>
      <c r="I88" s="75" t="s">
        <v>28</v>
      </c>
      <c r="J88" s="44">
        <v>121</v>
      </c>
      <c r="K88" s="80">
        <v>15.244901723741037</v>
      </c>
      <c r="L88" s="89">
        <v>1844.6331085726656</v>
      </c>
      <c r="M88" s="30"/>
      <c r="N88" s="75" t="s">
        <v>28</v>
      </c>
      <c r="O88" s="44">
        <v>132</v>
      </c>
      <c r="P88" s="80">
        <v>15.244901723741037</v>
      </c>
      <c r="Q88" s="89">
        <v>2012.3270275338168</v>
      </c>
      <c r="R88" s="30"/>
      <c r="S88" s="75" t="s">
        <v>28</v>
      </c>
      <c r="T88" s="44">
        <v>132</v>
      </c>
      <c r="U88" s="80">
        <v>15.244901723741037</v>
      </c>
      <c r="V88" s="89">
        <v>2012.3270275338168</v>
      </c>
      <c r="W88" s="30"/>
      <c r="X88" s="75" t="s">
        <v>28</v>
      </c>
      <c r="Y88" s="44">
        <v>132</v>
      </c>
      <c r="Z88" s="80">
        <v>15.244901723741037</v>
      </c>
      <c r="AA88" s="89">
        <v>2012.3270275338168</v>
      </c>
      <c r="AB88" s="87"/>
      <c r="AC88" s="90"/>
      <c r="AD88" s="75"/>
      <c r="AE88" s="44"/>
      <c r="AF88" s="80"/>
      <c r="AG88" s="89">
        <v>358.49199999999996</v>
      </c>
      <c r="AH88" s="32"/>
      <c r="AI88" s="75"/>
      <c r="AJ88" s="44"/>
      <c r="AK88" s="80"/>
      <c r="AL88" s="89"/>
      <c r="AM88" s="32"/>
      <c r="AN88" s="75"/>
      <c r="AO88" s="44"/>
      <c r="AP88" s="80"/>
      <c r="AQ88" s="89"/>
      <c r="AR88" s="32"/>
      <c r="AS88" s="75"/>
      <c r="AT88" s="44"/>
      <c r="AU88" s="80"/>
      <c r="AV88" s="89"/>
      <c r="AW88" s="30"/>
      <c r="AX88" s="75"/>
      <c r="AY88" s="76"/>
      <c r="AZ88" s="80"/>
      <c r="BA88" s="77">
        <f t="shared" si="5"/>
        <v>358.49199999999996</v>
      </c>
      <c r="BB88" s="9"/>
    </row>
    <row r="89" spans="1:54" x14ac:dyDescent="0.35">
      <c r="A89" s="40"/>
      <c r="B89" s="79" t="s">
        <v>111</v>
      </c>
      <c r="C89" s="87" t="s">
        <v>27</v>
      </c>
      <c r="D89" s="75" t="s">
        <v>107</v>
      </c>
      <c r="E89" s="76">
        <v>5</v>
      </c>
      <c r="F89" s="80">
        <v>45.734705171223112</v>
      </c>
      <c r="G89" s="77">
        <v>228.67352585611556</v>
      </c>
      <c r="H89" s="87"/>
      <c r="I89" s="75" t="s">
        <v>107</v>
      </c>
      <c r="J89" s="44">
        <v>5</v>
      </c>
      <c r="K89" s="80">
        <v>45.734705171223112</v>
      </c>
      <c r="L89" s="89">
        <v>228.67352585611556</v>
      </c>
      <c r="M89" s="30"/>
      <c r="N89" s="75" t="s">
        <v>107</v>
      </c>
      <c r="O89" s="44">
        <v>0</v>
      </c>
      <c r="P89" s="80">
        <v>45.734705171223112</v>
      </c>
      <c r="Q89" s="89">
        <v>0</v>
      </c>
      <c r="R89" s="30"/>
      <c r="S89" s="75" t="s">
        <v>107</v>
      </c>
      <c r="T89" s="44">
        <v>0</v>
      </c>
      <c r="U89" s="80">
        <v>45.734705171223112</v>
      </c>
      <c r="V89" s="89">
        <v>0</v>
      </c>
      <c r="W89" s="30"/>
      <c r="X89" s="75" t="s">
        <v>107</v>
      </c>
      <c r="Y89" s="44">
        <v>0</v>
      </c>
      <c r="Z89" s="80">
        <v>45.734705171223112</v>
      </c>
      <c r="AA89" s="89">
        <v>0</v>
      </c>
      <c r="AB89" s="87"/>
      <c r="AC89" s="90"/>
      <c r="AD89" s="75"/>
      <c r="AE89" s="44"/>
      <c r="AF89" s="80"/>
      <c r="AG89" s="89">
        <v>0</v>
      </c>
      <c r="AH89" s="32"/>
      <c r="AI89" s="75"/>
      <c r="AJ89" s="44"/>
      <c r="AK89" s="80"/>
      <c r="AL89" s="89"/>
      <c r="AM89" s="32"/>
      <c r="AN89" s="75"/>
      <c r="AO89" s="44"/>
      <c r="AP89" s="80"/>
      <c r="AQ89" s="89"/>
      <c r="AR89" s="32"/>
      <c r="AS89" s="75"/>
      <c r="AT89" s="44"/>
      <c r="AU89" s="80"/>
      <c r="AV89" s="89"/>
      <c r="AW89" s="30"/>
      <c r="AX89" s="75"/>
      <c r="AY89" s="76"/>
      <c r="AZ89" s="80"/>
      <c r="BA89" s="77">
        <f t="shared" si="5"/>
        <v>0</v>
      </c>
      <c r="BB89" s="9"/>
    </row>
    <row r="90" spans="1:54" x14ac:dyDescent="0.35">
      <c r="A90" s="40"/>
      <c r="B90" s="79" t="s">
        <v>112</v>
      </c>
      <c r="C90" s="87" t="s">
        <v>65</v>
      </c>
      <c r="D90" s="75" t="s">
        <v>107</v>
      </c>
      <c r="E90" s="76">
        <v>14</v>
      </c>
      <c r="F90" s="80">
        <v>45.734705171223105</v>
      </c>
      <c r="G90" s="77">
        <v>640.28587239712351</v>
      </c>
      <c r="H90" s="87"/>
      <c r="I90" s="75" t="s">
        <v>107</v>
      </c>
      <c r="J90" s="44">
        <v>14</v>
      </c>
      <c r="K90" s="80">
        <v>45.734705171223112</v>
      </c>
      <c r="L90" s="89">
        <v>640.28587239712351</v>
      </c>
      <c r="M90" s="30"/>
      <c r="N90" s="75" t="s">
        <v>107</v>
      </c>
      <c r="O90" s="44">
        <v>0</v>
      </c>
      <c r="P90" s="80">
        <v>45.734705171223112</v>
      </c>
      <c r="Q90" s="89">
        <v>0</v>
      </c>
      <c r="R90" s="30"/>
      <c r="S90" s="75" t="s">
        <v>107</v>
      </c>
      <c r="T90" s="44">
        <v>0</v>
      </c>
      <c r="U90" s="80">
        <v>45.734705171223112</v>
      </c>
      <c r="V90" s="89">
        <v>0</v>
      </c>
      <c r="W90" s="30"/>
      <c r="X90" s="75" t="s">
        <v>107</v>
      </c>
      <c r="Y90" s="44">
        <v>0</v>
      </c>
      <c r="Z90" s="80">
        <v>45.734705171223112</v>
      </c>
      <c r="AA90" s="89">
        <v>0</v>
      </c>
      <c r="AB90" s="87"/>
      <c r="AC90" s="90"/>
      <c r="AD90" s="75"/>
      <c r="AE90" s="44"/>
      <c r="AF90" s="80"/>
      <c r="AG90" s="89">
        <v>0</v>
      </c>
      <c r="AH90" s="32"/>
      <c r="AI90" s="75"/>
      <c r="AJ90" s="44"/>
      <c r="AK90" s="80"/>
      <c r="AL90" s="89"/>
      <c r="AM90" s="32"/>
      <c r="AN90" s="75"/>
      <c r="AO90" s="44"/>
      <c r="AP90" s="80"/>
      <c r="AQ90" s="89"/>
      <c r="AR90" s="32"/>
      <c r="AS90" s="75"/>
      <c r="AT90" s="44"/>
      <c r="AU90" s="80"/>
      <c r="AV90" s="89"/>
      <c r="AW90" s="30"/>
      <c r="AX90" s="75"/>
      <c r="AY90" s="76"/>
      <c r="AZ90" s="80"/>
      <c r="BA90" s="77">
        <f t="shared" si="5"/>
        <v>0</v>
      </c>
      <c r="BB90" s="9"/>
    </row>
    <row r="91" spans="1:54" x14ac:dyDescent="0.35">
      <c r="A91" s="40"/>
      <c r="B91" s="79" t="s">
        <v>113</v>
      </c>
      <c r="C91" s="87" t="s">
        <v>27</v>
      </c>
      <c r="D91" s="75" t="s">
        <v>28</v>
      </c>
      <c r="E91" s="76">
        <v>768</v>
      </c>
      <c r="F91" s="80">
        <v>30.489803447482075</v>
      </c>
      <c r="G91" s="77">
        <v>23416.169047666233</v>
      </c>
      <c r="H91" s="87"/>
      <c r="I91" s="75" t="s">
        <v>28</v>
      </c>
      <c r="J91" s="81">
        <v>192</v>
      </c>
      <c r="K91" s="80">
        <v>30.489803447482075</v>
      </c>
      <c r="L91" s="89">
        <v>5854.0422619165583</v>
      </c>
      <c r="M91" s="30"/>
      <c r="N91" s="75" t="s">
        <v>28</v>
      </c>
      <c r="O91" s="81">
        <v>192</v>
      </c>
      <c r="P91" s="80">
        <v>30.489803447482075</v>
      </c>
      <c r="Q91" s="89">
        <v>5854.0422619165583</v>
      </c>
      <c r="R91" s="30"/>
      <c r="S91" s="75" t="s">
        <v>28</v>
      </c>
      <c r="T91" s="81">
        <v>192</v>
      </c>
      <c r="U91" s="80">
        <v>30.489803447482075</v>
      </c>
      <c r="V91" s="89">
        <v>5854.0422619165583</v>
      </c>
      <c r="W91" s="30"/>
      <c r="X91" s="75" t="s">
        <v>28</v>
      </c>
      <c r="Y91" s="81">
        <v>192</v>
      </c>
      <c r="Z91" s="80">
        <v>30.489803447482075</v>
      </c>
      <c r="AA91" s="89">
        <v>5854.0422619165583</v>
      </c>
      <c r="AB91" s="87"/>
      <c r="AC91" s="90"/>
      <c r="AD91" s="75"/>
      <c r="AE91" s="81"/>
      <c r="AF91" s="80"/>
      <c r="AG91" s="89">
        <v>10662.311999999998</v>
      </c>
      <c r="AH91" s="32"/>
      <c r="AI91" s="75"/>
      <c r="AJ91" s="81"/>
      <c r="AK91" s="80"/>
      <c r="AL91" s="89"/>
      <c r="AM91" s="32"/>
      <c r="AN91" s="75"/>
      <c r="AO91" s="81"/>
      <c r="AP91" s="80"/>
      <c r="AQ91" s="89"/>
      <c r="AR91" s="32"/>
      <c r="AS91" s="75"/>
      <c r="AT91" s="81"/>
      <c r="AU91" s="80"/>
      <c r="AV91" s="89"/>
      <c r="AW91" s="30"/>
      <c r="AX91" s="75"/>
      <c r="AY91" s="76"/>
      <c r="AZ91" s="80"/>
      <c r="BA91" s="77">
        <f t="shared" si="5"/>
        <v>10662.311999999998</v>
      </c>
      <c r="BB91" s="9"/>
    </row>
    <row r="92" spans="1:54" x14ac:dyDescent="0.35">
      <c r="A92" s="40"/>
      <c r="B92" s="79" t="s">
        <v>113</v>
      </c>
      <c r="C92" s="87" t="s">
        <v>27</v>
      </c>
      <c r="D92" s="75" t="s">
        <v>28</v>
      </c>
      <c r="E92" s="76">
        <v>484</v>
      </c>
      <c r="F92" s="80">
        <v>30.489803447482075</v>
      </c>
      <c r="G92" s="77">
        <v>14757.064868581325</v>
      </c>
      <c r="H92" s="87"/>
      <c r="I92" s="75" t="s">
        <v>28</v>
      </c>
      <c r="J92" s="81">
        <v>121</v>
      </c>
      <c r="K92" s="80">
        <v>30.489803447482075</v>
      </c>
      <c r="L92" s="89">
        <v>3689.2662171453312</v>
      </c>
      <c r="M92" s="30"/>
      <c r="N92" s="75" t="s">
        <v>28</v>
      </c>
      <c r="O92" s="81">
        <v>121</v>
      </c>
      <c r="P92" s="80">
        <v>30.489803447482075</v>
      </c>
      <c r="Q92" s="89">
        <v>3689.2662171453312</v>
      </c>
      <c r="R92" s="30"/>
      <c r="S92" s="75" t="s">
        <v>28</v>
      </c>
      <c r="T92" s="81">
        <v>121</v>
      </c>
      <c r="U92" s="80">
        <v>30.489803447482075</v>
      </c>
      <c r="V92" s="89">
        <v>3689.2662171453312</v>
      </c>
      <c r="W92" s="30"/>
      <c r="X92" s="75" t="s">
        <v>28</v>
      </c>
      <c r="Y92" s="81">
        <v>121</v>
      </c>
      <c r="Z92" s="80">
        <v>30.489803447482075</v>
      </c>
      <c r="AA92" s="89">
        <v>3689.2662171453312</v>
      </c>
      <c r="AB92" s="87"/>
      <c r="AC92" s="90"/>
      <c r="AD92" s="75"/>
      <c r="AE92" s="81"/>
      <c r="AF92" s="80"/>
      <c r="AG92" s="89">
        <v>5704.5999999999995</v>
      </c>
      <c r="AH92" s="32"/>
      <c r="AI92" s="75"/>
      <c r="AJ92" s="81"/>
      <c r="AK92" s="80"/>
      <c r="AL92" s="89"/>
      <c r="AM92" s="32"/>
      <c r="AN92" s="75"/>
      <c r="AO92" s="81"/>
      <c r="AP92" s="80"/>
      <c r="AQ92" s="89"/>
      <c r="AR92" s="32"/>
      <c r="AS92" s="75"/>
      <c r="AT92" s="81"/>
      <c r="AU92" s="80"/>
      <c r="AV92" s="89"/>
      <c r="AW92" s="30"/>
      <c r="AX92" s="75"/>
      <c r="AY92" s="76"/>
      <c r="AZ92" s="80"/>
      <c r="BA92" s="77">
        <f t="shared" si="5"/>
        <v>5704.5999999999995</v>
      </c>
      <c r="BB92" s="9"/>
    </row>
    <row r="93" spans="1:54" x14ac:dyDescent="0.35">
      <c r="A93" s="40"/>
      <c r="B93" s="79" t="s">
        <v>114</v>
      </c>
      <c r="C93" s="87" t="s">
        <v>27</v>
      </c>
      <c r="D93" s="75" t="s">
        <v>28</v>
      </c>
      <c r="E93" s="76">
        <v>48</v>
      </c>
      <c r="F93" s="80">
        <v>35.063273964604385</v>
      </c>
      <c r="G93" s="77">
        <v>1683.0371503010106</v>
      </c>
      <c r="H93" s="87"/>
      <c r="I93" s="75" t="s">
        <v>28</v>
      </c>
      <c r="J93" s="44">
        <v>12</v>
      </c>
      <c r="K93" s="80">
        <v>35.063273964604385</v>
      </c>
      <c r="L93" s="89">
        <v>420.75928757525264</v>
      </c>
      <c r="M93" s="30"/>
      <c r="N93" s="75" t="s">
        <v>28</v>
      </c>
      <c r="O93" s="44">
        <v>12</v>
      </c>
      <c r="P93" s="80">
        <v>35.063273964604385</v>
      </c>
      <c r="Q93" s="89">
        <v>420.75928757525264</v>
      </c>
      <c r="R93" s="30"/>
      <c r="S93" s="75" t="s">
        <v>28</v>
      </c>
      <c r="T93" s="44">
        <v>12</v>
      </c>
      <c r="U93" s="80">
        <v>35.063273964604385</v>
      </c>
      <c r="V93" s="89">
        <v>420.75928757525264</v>
      </c>
      <c r="W93" s="30"/>
      <c r="X93" s="75" t="s">
        <v>28</v>
      </c>
      <c r="Y93" s="44">
        <v>12</v>
      </c>
      <c r="Z93" s="80">
        <v>35.063273964604385</v>
      </c>
      <c r="AA93" s="89">
        <v>420.75928757525264</v>
      </c>
      <c r="AB93" s="87"/>
      <c r="AC93" s="90"/>
      <c r="AD93" s="75"/>
      <c r="AE93" s="44"/>
      <c r="AF93" s="80"/>
      <c r="AG93" s="89">
        <v>167.84799999999998</v>
      </c>
      <c r="AH93" s="32"/>
      <c r="AI93" s="75"/>
      <c r="AJ93" s="44"/>
      <c r="AK93" s="80"/>
      <c r="AL93" s="89"/>
      <c r="AM93" s="32"/>
      <c r="AN93" s="75"/>
      <c r="AO93" s="44"/>
      <c r="AP93" s="80"/>
      <c r="AQ93" s="89"/>
      <c r="AR93" s="32"/>
      <c r="AS93" s="75"/>
      <c r="AT93" s="44"/>
      <c r="AU93" s="80"/>
      <c r="AV93" s="89"/>
      <c r="AW93" s="30"/>
      <c r="AX93" s="75"/>
      <c r="AY93" s="76"/>
      <c r="AZ93" s="80"/>
      <c r="BA93" s="77">
        <f t="shared" si="5"/>
        <v>167.84799999999998</v>
      </c>
      <c r="BB93" s="9"/>
    </row>
    <row r="94" spans="1:54" x14ac:dyDescent="0.35">
      <c r="A94" s="40"/>
      <c r="B94" s="84" t="s">
        <v>115</v>
      </c>
      <c r="C94" s="87" t="s">
        <v>27</v>
      </c>
      <c r="D94" s="75" t="s">
        <v>28</v>
      </c>
      <c r="E94" s="76">
        <v>48</v>
      </c>
      <c r="F94" s="80">
        <v>70.340006151082505</v>
      </c>
      <c r="G94" s="77">
        <v>3376.3202952519605</v>
      </c>
      <c r="H94" s="87"/>
      <c r="I94" s="75" t="s">
        <v>28</v>
      </c>
      <c r="J94" s="44">
        <v>12</v>
      </c>
      <c r="K94" s="80">
        <v>70.340006151082505</v>
      </c>
      <c r="L94" s="89">
        <v>844.08007381299012</v>
      </c>
      <c r="M94" s="30"/>
      <c r="N94" s="75" t="s">
        <v>28</v>
      </c>
      <c r="O94" s="44">
        <v>12</v>
      </c>
      <c r="P94" s="80">
        <v>70.340006151082505</v>
      </c>
      <c r="Q94" s="89">
        <v>844.08007381299012</v>
      </c>
      <c r="R94" s="30"/>
      <c r="S94" s="75" t="s">
        <v>28</v>
      </c>
      <c r="T94" s="44">
        <v>12</v>
      </c>
      <c r="U94" s="80">
        <v>70.340006151082505</v>
      </c>
      <c r="V94" s="89">
        <v>844.08007381299012</v>
      </c>
      <c r="W94" s="30"/>
      <c r="X94" s="75" t="s">
        <v>28</v>
      </c>
      <c r="Y94" s="44">
        <v>12</v>
      </c>
      <c r="Z94" s="80">
        <v>70.340006151082505</v>
      </c>
      <c r="AA94" s="89">
        <v>844.08007381299012</v>
      </c>
      <c r="AB94" s="87"/>
      <c r="AC94" s="90"/>
      <c r="AD94" s="75"/>
      <c r="AE94" s="44"/>
      <c r="AF94" s="80"/>
      <c r="AG94" s="89">
        <v>1807.2000000000003</v>
      </c>
      <c r="AH94" s="32"/>
      <c r="AI94" s="75"/>
      <c r="AJ94" s="44"/>
      <c r="AK94" s="80"/>
      <c r="AL94" s="89"/>
      <c r="AM94" s="32"/>
      <c r="AN94" s="75"/>
      <c r="AO94" s="44"/>
      <c r="AP94" s="80"/>
      <c r="AQ94" s="89"/>
      <c r="AR94" s="32"/>
      <c r="AS94" s="75"/>
      <c r="AT94" s="44"/>
      <c r="AU94" s="80"/>
      <c r="AV94" s="89"/>
      <c r="AW94" s="30"/>
      <c r="AX94" s="75"/>
      <c r="AY94" s="76"/>
      <c r="AZ94" s="80"/>
      <c r="BA94" s="77">
        <f t="shared" si="5"/>
        <v>1807.2000000000003</v>
      </c>
      <c r="BB94" s="9"/>
    </row>
    <row r="95" spans="1:54" x14ac:dyDescent="0.35">
      <c r="A95" s="40"/>
      <c r="B95" s="92" t="s">
        <v>116</v>
      </c>
      <c r="C95" s="87" t="s">
        <v>27</v>
      </c>
      <c r="D95" s="75" t="s">
        <v>28</v>
      </c>
      <c r="E95" s="76">
        <v>48</v>
      </c>
      <c r="F95" s="80">
        <v>109.19656032928771</v>
      </c>
      <c r="G95" s="77">
        <v>5241.4348958058099</v>
      </c>
      <c r="H95" s="87"/>
      <c r="I95" s="75" t="s">
        <v>28</v>
      </c>
      <c r="J95" s="44">
        <v>12</v>
      </c>
      <c r="K95" s="88">
        <v>109.19656032928771</v>
      </c>
      <c r="L95" s="89">
        <v>1310.3587239514525</v>
      </c>
      <c r="M95" s="30"/>
      <c r="N95" s="75" t="s">
        <v>28</v>
      </c>
      <c r="O95" s="44">
        <v>12</v>
      </c>
      <c r="P95" s="88">
        <v>109.19656032928771</v>
      </c>
      <c r="Q95" s="89">
        <v>1310.3587239514525</v>
      </c>
      <c r="R95" s="30"/>
      <c r="S95" s="75" t="s">
        <v>28</v>
      </c>
      <c r="T95" s="44">
        <v>12</v>
      </c>
      <c r="U95" s="88">
        <v>109.19656032928771</v>
      </c>
      <c r="V95" s="89">
        <v>1310.3587239514525</v>
      </c>
      <c r="W95" s="30"/>
      <c r="X95" s="75" t="s">
        <v>28</v>
      </c>
      <c r="Y95" s="44">
        <v>12</v>
      </c>
      <c r="Z95" s="88">
        <v>109.19656032928771</v>
      </c>
      <c r="AA95" s="89">
        <v>1310.3587239514525</v>
      </c>
      <c r="AB95" s="87"/>
      <c r="AC95" s="90"/>
      <c r="AD95" s="75"/>
      <c r="AE95" s="44"/>
      <c r="AF95" s="88"/>
      <c r="AG95" s="89">
        <v>8631.19</v>
      </c>
      <c r="AH95" s="32"/>
      <c r="AI95" s="75"/>
      <c r="AJ95" s="44"/>
      <c r="AK95" s="88"/>
      <c r="AL95" s="89"/>
      <c r="AM95" s="32"/>
      <c r="AN95" s="75"/>
      <c r="AO95" s="44"/>
      <c r="AP95" s="88"/>
      <c r="AQ95" s="89"/>
      <c r="AR95" s="32"/>
      <c r="AS95" s="75"/>
      <c r="AT95" s="44"/>
      <c r="AU95" s="88"/>
      <c r="AV95" s="89"/>
      <c r="AW95" s="30"/>
      <c r="AX95" s="75"/>
      <c r="AY95" s="76"/>
      <c r="AZ95" s="80"/>
      <c r="BA95" s="77">
        <f t="shared" si="5"/>
        <v>8631.19</v>
      </c>
      <c r="BB95" s="9"/>
    </row>
    <row r="96" spans="1:54" x14ac:dyDescent="0.35">
      <c r="A96" s="40"/>
      <c r="B96" s="84" t="s">
        <v>117</v>
      </c>
      <c r="C96" s="104" t="s">
        <v>65</v>
      </c>
      <c r="D96" s="75" t="s">
        <v>28</v>
      </c>
      <c r="E96" s="76">
        <v>144</v>
      </c>
      <c r="F96" s="80">
        <v>1289.1510000000001</v>
      </c>
      <c r="G96" s="77">
        <v>185637.74400000001</v>
      </c>
      <c r="H96" s="104"/>
      <c r="I96" s="75" t="s">
        <v>28</v>
      </c>
      <c r="J96" s="44">
        <v>36</v>
      </c>
      <c r="K96" s="88">
        <v>1289.1510000000001</v>
      </c>
      <c r="L96" s="89">
        <v>46409.436000000002</v>
      </c>
      <c r="M96" s="30"/>
      <c r="N96" s="75" t="s">
        <v>28</v>
      </c>
      <c r="O96" s="44">
        <v>36</v>
      </c>
      <c r="P96" s="88">
        <v>1289.1510000000001</v>
      </c>
      <c r="Q96" s="89">
        <v>46409.436000000002</v>
      </c>
      <c r="R96" s="30"/>
      <c r="S96" s="75" t="s">
        <v>28</v>
      </c>
      <c r="T96" s="44">
        <v>36</v>
      </c>
      <c r="U96" s="88">
        <v>1289.1510000000001</v>
      </c>
      <c r="V96" s="89">
        <v>46409.436000000002</v>
      </c>
      <c r="W96" s="30"/>
      <c r="X96" s="75" t="s">
        <v>28</v>
      </c>
      <c r="Y96" s="44">
        <v>36</v>
      </c>
      <c r="Z96" s="88">
        <v>1289.1510000000001</v>
      </c>
      <c r="AA96" s="89">
        <v>46409.436000000002</v>
      </c>
      <c r="AB96" s="104"/>
      <c r="AC96" s="90"/>
      <c r="AD96" s="75"/>
      <c r="AE96" s="44"/>
      <c r="AF96" s="88"/>
      <c r="AG96" s="89">
        <v>8597.3070000000007</v>
      </c>
      <c r="AH96" s="32"/>
      <c r="AI96" s="75"/>
      <c r="AJ96" s="44"/>
      <c r="AK96" s="88"/>
      <c r="AL96" s="89"/>
      <c r="AM96" s="32"/>
      <c r="AN96" s="75"/>
      <c r="AO96" s="44"/>
      <c r="AP96" s="88"/>
      <c r="AQ96" s="89"/>
      <c r="AR96" s="32"/>
      <c r="AS96" s="75"/>
      <c r="AT96" s="44"/>
      <c r="AU96" s="88"/>
      <c r="AV96" s="89"/>
      <c r="AW96" s="30"/>
      <c r="AX96" s="75"/>
      <c r="AY96" s="76"/>
      <c r="AZ96" s="80"/>
      <c r="BA96" s="77">
        <f t="shared" si="5"/>
        <v>8597.3070000000007</v>
      </c>
      <c r="BB96" s="9"/>
    </row>
    <row r="97" spans="1:54" x14ac:dyDescent="0.35">
      <c r="A97" s="40"/>
      <c r="B97" s="84"/>
      <c r="C97" s="104"/>
      <c r="D97" s="75"/>
      <c r="E97" s="44"/>
      <c r="F97" s="88"/>
      <c r="G97" s="89"/>
      <c r="H97" s="104"/>
      <c r="I97" s="75"/>
      <c r="J97" s="44"/>
      <c r="K97" s="88"/>
      <c r="L97" s="89"/>
      <c r="M97" s="30"/>
      <c r="N97" s="75"/>
      <c r="O97" s="44"/>
      <c r="P97" s="88"/>
      <c r="Q97" s="89"/>
      <c r="R97" s="30"/>
      <c r="S97" s="75"/>
      <c r="T97" s="44"/>
      <c r="U97" s="88"/>
      <c r="V97" s="89"/>
      <c r="W97" s="30"/>
      <c r="X97" s="75"/>
      <c r="Y97" s="44"/>
      <c r="Z97" s="88"/>
      <c r="AA97" s="89"/>
      <c r="AB97" s="104"/>
      <c r="AC97" s="90"/>
      <c r="AD97" s="75"/>
      <c r="AE97" s="44"/>
      <c r="AF97" s="88"/>
      <c r="AG97" s="89"/>
      <c r="AH97" s="32"/>
      <c r="AI97" s="75"/>
      <c r="AJ97" s="44"/>
      <c r="AK97" s="88"/>
      <c r="AL97" s="89"/>
      <c r="AM97" s="32"/>
      <c r="AN97" s="75"/>
      <c r="AO97" s="44"/>
      <c r="AP97" s="88"/>
      <c r="AQ97" s="89"/>
      <c r="AR97" s="32"/>
      <c r="AS97" s="75"/>
      <c r="AT97" s="44"/>
      <c r="AU97" s="88"/>
      <c r="AV97" s="89"/>
      <c r="AW97" s="30"/>
      <c r="AX97" s="75"/>
      <c r="AY97" s="44"/>
      <c r="AZ97" s="88"/>
      <c r="BA97" s="89"/>
      <c r="BB97" s="9"/>
    </row>
    <row r="98" spans="1:54" x14ac:dyDescent="0.35">
      <c r="A98" s="40"/>
      <c r="B98" s="93" t="s">
        <v>118</v>
      </c>
      <c r="C98" s="74"/>
      <c r="D98" s="75"/>
      <c r="E98" s="44"/>
      <c r="F98" s="89"/>
      <c r="G98" s="78">
        <v>16769.391896115143</v>
      </c>
      <c r="H98" s="74"/>
      <c r="I98" s="75"/>
      <c r="J98" s="44"/>
      <c r="K98" s="89"/>
      <c r="L98" s="78">
        <v>4192.3479740287858</v>
      </c>
      <c r="M98" s="30"/>
      <c r="N98" s="75"/>
      <c r="O98" s="44"/>
      <c r="P98" s="89"/>
      <c r="Q98" s="78">
        <v>4192.3479740287858</v>
      </c>
      <c r="R98" s="30"/>
      <c r="S98" s="75"/>
      <c r="T98" s="44"/>
      <c r="U98" s="89"/>
      <c r="V98" s="78">
        <v>4192.3479740287858</v>
      </c>
      <c r="W98" s="30"/>
      <c r="X98" s="75"/>
      <c r="Y98" s="44"/>
      <c r="Z98" s="89"/>
      <c r="AA98" s="78">
        <v>4192.3479740287858</v>
      </c>
      <c r="AB98" s="74"/>
      <c r="AC98" s="46"/>
      <c r="AD98" s="75"/>
      <c r="AE98" s="44"/>
      <c r="AF98" s="89"/>
      <c r="AG98" s="78">
        <f>AG99</f>
        <v>0</v>
      </c>
      <c r="AH98" s="32"/>
      <c r="AI98" s="75"/>
      <c r="AJ98" s="44"/>
      <c r="AK98" s="89"/>
      <c r="AL98" s="78">
        <f>AL99</f>
        <v>0</v>
      </c>
      <c r="AM98" s="32"/>
      <c r="AN98" s="75"/>
      <c r="AO98" s="44"/>
      <c r="AP98" s="89"/>
      <c r="AQ98" s="78">
        <f>AQ99</f>
        <v>0</v>
      </c>
      <c r="AR98" s="32"/>
      <c r="AS98" s="75"/>
      <c r="AT98" s="44"/>
      <c r="AU98" s="89"/>
      <c r="AV98" s="78">
        <f>AV99</f>
        <v>0</v>
      </c>
      <c r="AW98" s="30"/>
      <c r="AX98" s="75"/>
      <c r="AY98" s="44"/>
      <c r="AZ98" s="89"/>
      <c r="BA98" s="78">
        <f>BA99</f>
        <v>0</v>
      </c>
      <c r="BB98" s="9"/>
    </row>
    <row r="99" spans="1:54" x14ac:dyDescent="0.35">
      <c r="A99" s="40"/>
      <c r="B99" s="86" t="s">
        <v>119</v>
      </c>
      <c r="C99" s="74"/>
      <c r="D99" s="75" t="s">
        <v>120</v>
      </c>
      <c r="E99" s="76">
        <v>4</v>
      </c>
      <c r="F99" s="80">
        <v>4192.3479740287858</v>
      </c>
      <c r="G99" s="77">
        <v>16769.391896115143</v>
      </c>
      <c r="H99" s="74"/>
      <c r="I99" s="75" t="s">
        <v>120</v>
      </c>
      <c r="J99" s="44">
        <v>1</v>
      </c>
      <c r="K99" s="45">
        <v>4192.3479740287858</v>
      </c>
      <c r="L99" s="89">
        <v>4192.3479740287858</v>
      </c>
      <c r="M99" s="30"/>
      <c r="N99" s="75" t="s">
        <v>120</v>
      </c>
      <c r="O99" s="44">
        <v>1</v>
      </c>
      <c r="P99" s="45">
        <v>4192.3479740287858</v>
      </c>
      <c r="Q99" s="89">
        <v>4192.3479740287858</v>
      </c>
      <c r="R99" s="30"/>
      <c r="S99" s="75" t="s">
        <v>120</v>
      </c>
      <c r="T99" s="44">
        <v>1</v>
      </c>
      <c r="U99" s="45">
        <v>4192.3479740287858</v>
      </c>
      <c r="V99" s="89">
        <v>4192.3479740287858</v>
      </c>
      <c r="W99" s="30"/>
      <c r="X99" s="75" t="s">
        <v>120</v>
      </c>
      <c r="Y99" s="44">
        <v>1</v>
      </c>
      <c r="Z99" s="45">
        <v>4192.3479740287858</v>
      </c>
      <c r="AA99" s="89">
        <v>4192.3479740287858</v>
      </c>
      <c r="AB99" s="74"/>
      <c r="AC99" s="46"/>
      <c r="AD99" s="75"/>
      <c r="AE99" s="44"/>
      <c r="AF99" s="45"/>
      <c r="AG99" s="89">
        <v>0</v>
      </c>
      <c r="AH99" s="32"/>
      <c r="AI99" s="75"/>
      <c r="AJ99" s="44"/>
      <c r="AK99" s="45"/>
      <c r="AL99" s="89"/>
      <c r="AM99" s="32"/>
      <c r="AN99" s="75"/>
      <c r="AO99" s="44"/>
      <c r="AP99" s="45"/>
      <c r="AQ99" s="89"/>
      <c r="AR99" s="32"/>
      <c r="AS99" s="75"/>
      <c r="AT99" s="44"/>
      <c r="AU99" s="45"/>
      <c r="AV99" s="89"/>
      <c r="AW99" s="30"/>
      <c r="AX99" s="75"/>
      <c r="AY99" s="76"/>
      <c r="AZ99" s="80"/>
      <c r="BA99" s="77">
        <f>AG99+AL99+AQ99+AV99</f>
        <v>0</v>
      </c>
      <c r="BB99" s="9"/>
    </row>
    <row r="100" spans="1:54" x14ac:dyDescent="0.35">
      <c r="A100" s="40"/>
      <c r="B100" s="84"/>
      <c r="C100" s="104"/>
      <c r="D100" s="75"/>
      <c r="E100" s="44"/>
      <c r="F100" s="88"/>
      <c r="G100" s="56"/>
      <c r="H100" s="104"/>
      <c r="I100" s="75"/>
      <c r="J100" s="44"/>
      <c r="K100" s="88"/>
      <c r="L100" s="56"/>
      <c r="M100" s="30"/>
      <c r="N100" s="75"/>
      <c r="O100" s="44"/>
      <c r="P100" s="88"/>
      <c r="Q100" s="56"/>
      <c r="R100" s="30"/>
      <c r="S100" s="75"/>
      <c r="T100" s="44"/>
      <c r="U100" s="88"/>
      <c r="V100" s="56"/>
      <c r="W100" s="30"/>
      <c r="X100" s="75"/>
      <c r="Y100" s="44"/>
      <c r="Z100" s="88"/>
      <c r="AA100" s="56"/>
      <c r="AB100" s="104"/>
      <c r="AC100" s="90"/>
      <c r="AD100" s="75"/>
      <c r="AE100" s="44"/>
      <c r="AF100" s="88"/>
      <c r="AG100" s="56"/>
      <c r="AH100" s="32"/>
      <c r="AI100" s="75"/>
      <c r="AJ100" s="44"/>
      <c r="AK100" s="88"/>
      <c r="AL100" s="56"/>
      <c r="AM100" s="32"/>
      <c r="AN100" s="75"/>
      <c r="AO100" s="44"/>
      <c r="AP100" s="88"/>
      <c r="AQ100" s="56"/>
      <c r="AR100" s="32"/>
      <c r="AS100" s="75"/>
      <c r="AT100" s="44"/>
      <c r="AU100" s="88"/>
      <c r="AV100" s="56"/>
      <c r="AW100" s="30"/>
      <c r="AX100" s="75"/>
      <c r="AY100" s="44"/>
      <c r="AZ100" s="88"/>
      <c r="BA100" s="56"/>
      <c r="BB100" s="9"/>
    </row>
    <row r="101" spans="1:54" x14ac:dyDescent="0.35">
      <c r="A101" s="40"/>
      <c r="B101" s="105" t="s">
        <v>121</v>
      </c>
      <c r="C101" s="106"/>
      <c r="D101" s="107"/>
      <c r="E101" s="108"/>
      <c r="F101" s="109"/>
      <c r="G101" s="110">
        <v>138247.54990475805</v>
      </c>
      <c r="H101" s="106"/>
      <c r="I101" s="111"/>
      <c r="J101" s="112"/>
      <c r="K101" s="113"/>
      <c r="L101" s="110">
        <v>33138.099776937685</v>
      </c>
      <c r="M101" s="30"/>
      <c r="N101" s="107"/>
      <c r="O101" s="108"/>
      <c r="P101" s="109"/>
      <c r="Q101" s="110">
        <v>34341.483500812763</v>
      </c>
      <c r="R101" s="114"/>
      <c r="S101" s="107"/>
      <c r="T101" s="108"/>
      <c r="U101" s="109"/>
      <c r="V101" s="110">
        <v>35030.739575319247</v>
      </c>
      <c r="W101" s="114"/>
      <c r="X101" s="107"/>
      <c r="Y101" s="108"/>
      <c r="Z101" s="109"/>
      <c r="AA101" s="110">
        <v>35737.227051688387</v>
      </c>
      <c r="AB101" s="106"/>
      <c r="AC101" s="115"/>
      <c r="AD101" s="111"/>
      <c r="AE101" s="112"/>
      <c r="AF101" s="113"/>
      <c r="AG101" s="110">
        <f>AG102+AG105+AG109+AG110</f>
        <v>37270.691361173223</v>
      </c>
      <c r="AH101" s="32"/>
      <c r="AI101" s="107"/>
      <c r="AJ101" s="108"/>
      <c r="AK101" s="109"/>
      <c r="AL101" s="110">
        <f>AL102+AL105+AL109+AL110</f>
        <v>0</v>
      </c>
      <c r="AM101" s="116"/>
      <c r="AN101" s="107"/>
      <c r="AO101" s="108"/>
      <c r="AP101" s="109"/>
      <c r="AQ101" s="110">
        <f>AQ102+AQ105+AQ109+AQ110</f>
        <v>0</v>
      </c>
      <c r="AR101" s="116"/>
      <c r="AS101" s="107"/>
      <c r="AT101" s="108"/>
      <c r="AU101" s="109"/>
      <c r="AV101" s="110">
        <f>AV102+AV105+AV109+AV110</f>
        <v>0</v>
      </c>
      <c r="AW101" s="114"/>
      <c r="AX101" s="107"/>
      <c r="AY101" s="108"/>
      <c r="AZ101" s="109"/>
      <c r="BA101" s="110">
        <f>BA102+BA105+BA109+BA110</f>
        <v>37270.691361173223</v>
      </c>
      <c r="BB101" s="9"/>
    </row>
    <row r="102" spans="1:54" x14ac:dyDescent="0.35">
      <c r="A102" s="40"/>
      <c r="B102" s="117" t="s">
        <v>122</v>
      </c>
      <c r="C102" s="106"/>
      <c r="D102" s="107"/>
      <c r="E102" s="108"/>
      <c r="F102" s="109"/>
      <c r="G102" s="118">
        <v>106829.16759891517</v>
      </c>
      <c r="H102" s="106"/>
      <c r="I102" s="111"/>
      <c r="J102" s="112"/>
      <c r="K102" s="113"/>
      <c r="L102" s="118">
        <v>25726.373419465504</v>
      </c>
      <c r="M102" s="30"/>
      <c r="N102" s="107"/>
      <c r="O102" s="108"/>
      <c r="P102" s="109"/>
      <c r="Q102" s="118">
        <v>26369.532754952143</v>
      </c>
      <c r="R102" s="114"/>
      <c r="S102" s="107"/>
      <c r="T102" s="108"/>
      <c r="U102" s="109"/>
      <c r="V102" s="118">
        <v>27028.771073825945</v>
      </c>
      <c r="W102" s="114"/>
      <c r="X102" s="107"/>
      <c r="Y102" s="108"/>
      <c r="Z102" s="109"/>
      <c r="AA102" s="118">
        <v>27704.490350671589</v>
      </c>
      <c r="AB102" s="106"/>
      <c r="AC102" s="115"/>
      <c r="AD102" s="111"/>
      <c r="AE102" s="112"/>
      <c r="AF102" s="113"/>
      <c r="AG102" s="118">
        <f>AG103+AG104</f>
        <v>35058.602859103215</v>
      </c>
      <c r="AH102" s="32"/>
      <c r="AI102" s="107"/>
      <c r="AJ102" s="108"/>
      <c r="AK102" s="109"/>
      <c r="AL102" s="118">
        <f>AL103+AL104</f>
        <v>0</v>
      </c>
      <c r="AM102" s="116"/>
      <c r="AN102" s="107"/>
      <c r="AO102" s="108"/>
      <c r="AP102" s="109"/>
      <c r="AQ102" s="118">
        <f>AQ103+AQ104</f>
        <v>0</v>
      </c>
      <c r="AR102" s="116"/>
      <c r="AS102" s="107"/>
      <c r="AT102" s="108"/>
      <c r="AU102" s="109"/>
      <c r="AV102" s="118">
        <f>AV103+AV104</f>
        <v>0</v>
      </c>
      <c r="AW102" s="114"/>
      <c r="AX102" s="107"/>
      <c r="AY102" s="108"/>
      <c r="AZ102" s="109"/>
      <c r="BA102" s="118">
        <f>BA103+BA104</f>
        <v>35058.602859103215</v>
      </c>
      <c r="BB102" s="9"/>
    </row>
    <row r="103" spans="1:54" x14ac:dyDescent="0.35">
      <c r="A103" s="40"/>
      <c r="B103" s="119" t="s">
        <v>123</v>
      </c>
      <c r="C103" s="120" t="s">
        <v>124</v>
      </c>
      <c r="D103" s="121" t="s">
        <v>28</v>
      </c>
      <c r="E103" s="122">
        <v>14.85803634224305</v>
      </c>
      <c r="F103" s="109">
        <v>5438.6344945898418</v>
      </c>
      <c r="G103" s="123">
        <v>80807.428972792535</v>
      </c>
      <c r="H103" s="120"/>
      <c r="I103" s="121" t="s">
        <v>28</v>
      </c>
      <c r="J103" s="122">
        <v>3.7145090855607625</v>
      </c>
      <c r="K103" s="123">
        <v>5238.8816666666662</v>
      </c>
      <c r="L103" s="123">
        <v>19459.873549011041</v>
      </c>
      <c r="M103" s="30"/>
      <c r="N103" s="121" t="s">
        <v>28</v>
      </c>
      <c r="O103" s="122">
        <v>3.7145090855607625</v>
      </c>
      <c r="P103" s="109">
        <v>5369.8537083333322</v>
      </c>
      <c r="Q103" s="123">
        <v>19946.370387736315</v>
      </c>
      <c r="R103" s="114"/>
      <c r="S103" s="121" t="s">
        <v>28</v>
      </c>
      <c r="T103" s="122">
        <v>3.7145090855607625</v>
      </c>
      <c r="U103" s="109">
        <v>5504.1000510416652</v>
      </c>
      <c r="V103" s="123">
        <v>20445.029647429721</v>
      </c>
      <c r="W103" s="114"/>
      <c r="X103" s="121" t="s">
        <v>28</v>
      </c>
      <c r="Y103" s="122">
        <v>3.7145090855607625</v>
      </c>
      <c r="Z103" s="109">
        <v>5641.7025523177062</v>
      </c>
      <c r="AA103" s="123">
        <v>20956.155388615462</v>
      </c>
      <c r="AB103" s="120"/>
      <c r="AC103" s="124">
        <f>[1]Calc!$F$47/[1]Calc!$F$95</f>
        <v>0.43248017104375852</v>
      </c>
      <c r="AD103" s="121"/>
      <c r="AE103" s="122"/>
      <c r="AF103" s="123"/>
      <c r="AG103" s="123">
        <f>AC103*64844.41</f>
        <v>28043.921528031606</v>
      </c>
      <c r="AH103" s="32">
        <f>[1]Calc!$F$47/[1]Calc!$F$95</f>
        <v>0.43248017104375852</v>
      </c>
      <c r="AI103" s="121"/>
      <c r="AJ103" s="122"/>
      <c r="AK103" s="109"/>
      <c r="AL103" s="123"/>
      <c r="AM103" s="116">
        <f>[1]Calc!$F$47/[1]Calc!$F$95</f>
        <v>0.43248017104375852</v>
      </c>
      <c r="AN103" s="121"/>
      <c r="AO103" s="122"/>
      <c r="AP103" s="109"/>
      <c r="AQ103" s="123"/>
      <c r="AR103" s="116">
        <f>[1]Calc!$F$47/[1]Calc!$F$95</f>
        <v>0.43248017104375852</v>
      </c>
      <c r="AS103" s="121"/>
      <c r="AT103" s="122"/>
      <c r="AU103" s="109"/>
      <c r="AV103" s="123"/>
      <c r="AW103" s="114"/>
      <c r="AX103" s="121"/>
      <c r="AY103" s="122"/>
      <c r="AZ103" s="109"/>
      <c r="BA103" s="123">
        <f>AG103+AL103+AQ103+AV103</f>
        <v>28043.921528031606</v>
      </c>
      <c r="BB103" s="9"/>
    </row>
    <row r="104" spans="1:54" x14ac:dyDescent="0.35">
      <c r="A104" s="40"/>
      <c r="B104" s="119" t="s">
        <v>125</v>
      </c>
      <c r="C104" s="106" t="s">
        <v>124</v>
      </c>
      <c r="D104" s="111" t="s">
        <v>28</v>
      </c>
      <c r="E104" s="122">
        <v>3.7145090855607625</v>
      </c>
      <c r="F104" s="109">
        <v>7005.431411455078</v>
      </c>
      <c r="G104" s="123">
        <v>26021.738626122642</v>
      </c>
      <c r="H104" s="106"/>
      <c r="I104" s="111" t="s">
        <v>28</v>
      </c>
      <c r="J104" s="112">
        <v>0.92862727139019063</v>
      </c>
      <c r="K104" s="113">
        <v>6748.1324999999997</v>
      </c>
      <c r="L104" s="123">
        <v>6266.4998704544651</v>
      </c>
      <c r="M104" s="30"/>
      <c r="N104" s="111" t="s">
        <v>28</v>
      </c>
      <c r="O104" s="112">
        <v>0.92862727139019063</v>
      </c>
      <c r="P104" s="109">
        <v>6916.8358124999995</v>
      </c>
      <c r="Q104" s="123">
        <v>6423.1623672158266</v>
      </c>
      <c r="R104" s="114"/>
      <c r="S104" s="111" t="s">
        <v>28</v>
      </c>
      <c r="T104" s="112">
        <v>0.92862727139019063</v>
      </c>
      <c r="U104" s="109">
        <v>7089.7567078124994</v>
      </c>
      <c r="V104" s="123">
        <v>6583.7414263962228</v>
      </c>
      <c r="W104" s="114"/>
      <c r="X104" s="111" t="s">
        <v>28</v>
      </c>
      <c r="Y104" s="112">
        <v>0.92862727139019063</v>
      </c>
      <c r="Z104" s="109">
        <v>7267.0006255078115</v>
      </c>
      <c r="AA104" s="123">
        <v>6748.3349620561276</v>
      </c>
      <c r="AB104" s="106"/>
      <c r="AC104" s="124">
        <f>[1]Calc!$F$47/[1]Calc!$F$95</f>
        <v>0.43248017104375852</v>
      </c>
      <c r="AD104" s="111"/>
      <c r="AE104" s="112"/>
      <c r="AF104" s="113"/>
      <c r="AG104" s="123">
        <f>AC104*16219.66</f>
        <v>7014.6813310716079</v>
      </c>
      <c r="AH104" s="32">
        <f>[1]Calc!$F$47/[1]Calc!$F$95</f>
        <v>0.43248017104375852</v>
      </c>
      <c r="AI104" s="111"/>
      <c r="AJ104" s="112"/>
      <c r="AK104" s="109"/>
      <c r="AL104" s="123"/>
      <c r="AM104" s="116">
        <f>[1]Calc!$F$47/[1]Calc!$F$95</f>
        <v>0.43248017104375852</v>
      </c>
      <c r="AN104" s="111"/>
      <c r="AO104" s="112"/>
      <c r="AP104" s="109"/>
      <c r="AQ104" s="123"/>
      <c r="AR104" s="116">
        <f>[1]Calc!$F$47/[1]Calc!$F$95</f>
        <v>0.43248017104375852</v>
      </c>
      <c r="AS104" s="111"/>
      <c r="AT104" s="112"/>
      <c r="AU104" s="109"/>
      <c r="AV104" s="123"/>
      <c r="AW104" s="114"/>
      <c r="AX104" s="111"/>
      <c r="AY104" s="122"/>
      <c r="AZ104" s="109"/>
      <c r="BA104" s="123">
        <f>AG104+AL104+AQ104+AV104</f>
        <v>7014.6813310716079</v>
      </c>
      <c r="BB104" s="9"/>
    </row>
    <row r="105" spans="1:54" x14ac:dyDescent="0.35">
      <c r="A105" s="40"/>
      <c r="B105" s="117" t="s">
        <v>126</v>
      </c>
      <c r="C105" s="106"/>
      <c r="D105" s="111"/>
      <c r="E105" s="122"/>
      <c r="F105" s="109"/>
      <c r="G105" s="125">
        <v>4864.3589967660382</v>
      </c>
      <c r="H105" s="106"/>
      <c r="I105" s="111"/>
      <c r="J105" s="112"/>
      <c r="K105" s="113"/>
      <c r="L105" s="125">
        <v>1171.4246100557509</v>
      </c>
      <c r="M105" s="30"/>
      <c r="N105" s="111"/>
      <c r="O105" s="112"/>
      <c r="P105" s="109"/>
      <c r="Q105" s="125">
        <v>1200.7102253071446</v>
      </c>
      <c r="R105" s="114"/>
      <c r="S105" s="111"/>
      <c r="T105" s="112"/>
      <c r="U105" s="109"/>
      <c r="V105" s="125">
        <v>1230.7279809398233</v>
      </c>
      <c r="W105" s="114"/>
      <c r="X105" s="111"/>
      <c r="Y105" s="112"/>
      <c r="Z105" s="109"/>
      <c r="AA105" s="125">
        <v>1261.4961804633188</v>
      </c>
      <c r="AB105" s="106"/>
      <c r="AC105" s="124">
        <f>[1]Calc!$F$47/[1]Calc!$F$95</f>
        <v>0.43248017104375852</v>
      </c>
      <c r="AD105" s="111"/>
      <c r="AE105" s="112"/>
      <c r="AF105" s="113"/>
      <c r="AG105" s="125">
        <f>AG106+AG107+AG108</f>
        <v>612.09351087994185</v>
      </c>
      <c r="AH105" s="32">
        <f>[1]Calc!$F$47/[1]Calc!$F$95</f>
        <v>0.43248017104375852</v>
      </c>
      <c r="AI105" s="111"/>
      <c r="AJ105" s="112"/>
      <c r="AK105" s="109"/>
      <c r="AL105" s="125"/>
      <c r="AM105" s="116">
        <f>[1]Calc!$F$47/[1]Calc!$F$95</f>
        <v>0.43248017104375852</v>
      </c>
      <c r="AN105" s="111"/>
      <c r="AO105" s="112"/>
      <c r="AP105" s="109"/>
      <c r="AQ105" s="125"/>
      <c r="AR105" s="116">
        <f>[1]Calc!$F$47/[1]Calc!$F$95</f>
        <v>0.43248017104375852</v>
      </c>
      <c r="AS105" s="111"/>
      <c r="AT105" s="112"/>
      <c r="AU105" s="109"/>
      <c r="AV105" s="125"/>
      <c r="AW105" s="114"/>
      <c r="AX105" s="111"/>
      <c r="AY105" s="122"/>
      <c r="AZ105" s="109"/>
      <c r="BA105" s="125">
        <f>BA106+BA107+BA108</f>
        <v>612.09351087994185</v>
      </c>
      <c r="BB105" s="9"/>
    </row>
    <row r="106" spans="1:54" ht="29" x14ac:dyDescent="0.35">
      <c r="A106" s="40"/>
      <c r="B106" s="126" t="s">
        <v>127</v>
      </c>
      <c r="C106" s="127" t="s">
        <v>124</v>
      </c>
      <c r="D106" s="128" t="s">
        <v>128</v>
      </c>
      <c r="E106" s="122">
        <v>0.77385605949182557</v>
      </c>
      <c r="F106" s="109">
        <v>4152.5156250000009</v>
      </c>
      <c r="G106" s="123">
        <v>3213.4493785407358</v>
      </c>
      <c r="H106" s="127"/>
      <c r="I106" s="128" t="s">
        <v>128</v>
      </c>
      <c r="J106" s="129">
        <v>0.19346401487295639</v>
      </c>
      <c r="K106" s="130">
        <v>4000</v>
      </c>
      <c r="L106" s="123">
        <v>773.85605949182559</v>
      </c>
      <c r="M106" s="30"/>
      <c r="N106" s="128" t="s">
        <v>128</v>
      </c>
      <c r="O106" s="129">
        <v>0.19346401487295639</v>
      </c>
      <c r="P106" s="109">
        <v>4100</v>
      </c>
      <c r="Q106" s="123">
        <v>793.20246097912116</v>
      </c>
      <c r="R106" s="114"/>
      <c r="S106" s="128" t="s">
        <v>128</v>
      </c>
      <c r="T106" s="129">
        <v>0.19346401487295639</v>
      </c>
      <c r="U106" s="109">
        <v>4202.5</v>
      </c>
      <c r="V106" s="123">
        <v>813.03252250359924</v>
      </c>
      <c r="W106" s="114"/>
      <c r="X106" s="128" t="s">
        <v>128</v>
      </c>
      <c r="Y106" s="129">
        <v>0.19346401487295639</v>
      </c>
      <c r="Z106" s="109">
        <v>4307.5625</v>
      </c>
      <c r="AA106" s="123">
        <v>833.35833556618923</v>
      </c>
      <c r="AB106" s="127"/>
      <c r="AC106" s="124">
        <f>[1]Calc!$F$47/[1]Calc!$F$95</f>
        <v>0.43248017104375852</v>
      </c>
      <c r="AD106" s="128"/>
      <c r="AE106" s="129"/>
      <c r="AF106" s="130"/>
      <c r="AG106" s="123">
        <f>AC106*1160.31</f>
        <v>501.8110672637834</v>
      </c>
      <c r="AH106" s="32">
        <f>[1]Calc!$F$47/[1]Calc!$F$95</f>
        <v>0.43248017104375852</v>
      </c>
      <c r="AI106" s="128"/>
      <c r="AJ106" s="129"/>
      <c r="AK106" s="109"/>
      <c r="AL106" s="123"/>
      <c r="AM106" s="116">
        <f>[1]Calc!$F$47/[1]Calc!$F$95</f>
        <v>0.43248017104375852</v>
      </c>
      <c r="AN106" s="128"/>
      <c r="AO106" s="129"/>
      <c r="AP106" s="109"/>
      <c r="AQ106" s="123"/>
      <c r="AR106" s="116">
        <f>[1]Calc!$F$47/[1]Calc!$F$95</f>
        <v>0.43248017104375852</v>
      </c>
      <c r="AS106" s="128"/>
      <c r="AT106" s="129"/>
      <c r="AU106" s="109"/>
      <c r="AV106" s="123"/>
      <c r="AW106" s="114"/>
      <c r="AX106" s="128"/>
      <c r="AY106" s="122"/>
      <c r="AZ106" s="109"/>
      <c r="BA106" s="123">
        <f>AG106+AL106+AQ106+AV106</f>
        <v>501.8110672637834</v>
      </c>
      <c r="BB106" s="9"/>
    </row>
    <row r="107" spans="1:54" x14ac:dyDescent="0.35">
      <c r="A107" s="40"/>
      <c r="B107" s="131" t="s">
        <v>129</v>
      </c>
      <c r="C107" s="132" t="s">
        <v>124</v>
      </c>
      <c r="D107" s="128" t="s">
        <v>130</v>
      </c>
      <c r="E107" s="122">
        <v>2.3215681784754767</v>
      </c>
      <c r="F107" s="109">
        <v>88.240957031249991</v>
      </c>
      <c r="G107" s="123">
        <v>204.85739788197185</v>
      </c>
      <c r="H107" s="132"/>
      <c r="I107" s="128" t="s">
        <v>130</v>
      </c>
      <c r="J107" s="129">
        <v>0.58039204461886917</v>
      </c>
      <c r="K107" s="130">
        <v>85</v>
      </c>
      <c r="L107" s="123">
        <v>49.333323792603878</v>
      </c>
      <c r="M107" s="30"/>
      <c r="N107" s="128" t="s">
        <v>130</v>
      </c>
      <c r="O107" s="129">
        <v>0.58039204461886917</v>
      </c>
      <c r="P107" s="109">
        <v>87.125</v>
      </c>
      <c r="Q107" s="123">
        <v>50.566656887418979</v>
      </c>
      <c r="R107" s="114"/>
      <c r="S107" s="128" t="s">
        <v>130</v>
      </c>
      <c r="T107" s="129">
        <v>0.58039204461886917</v>
      </c>
      <c r="U107" s="109">
        <v>89.30312499999998</v>
      </c>
      <c r="V107" s="123">
        <v>51.83082330960444</v>
      </c>
      <c r="W107" s="114"/>
      <c r="X107" s="128" t="s">
        <v>130</v>
      </c>
      <c r="Y107" s="129">
        <v>0.58039204461886917</v>
      </c>
      <c r="Z107" s="109">
        <v>91.535703124999984</v>
      </c>
      <c r="AA107" s="123">
        <v>53.126593892344552</v>
      </c>
      <c r="AB107" s="132"/>
      <c r="AC107" s="124">
        <f>[1]Calc!$F$47/[1]Calc!$F$95</f>
        <v>0.43248017104375852</v>
      </c>
      <c r="AD107" s="128"/>
      <c r="AE107" s="129"/>
      <c r="AF107" s="130"/>
      <c r="AG107" s="123">
        <f>AC107*0</f>
        <v>0</v>
      </c>
      <c r="AH107" s="32">
        <f>[1]Calc!$F$47/[1]Calc!$F$95</f>
        <v>0.43248017104375852</v>
      </c>
      <c r="AI107" s="128"/>
      <c r="AJ107" s="129"/>
      <c r="AK107" s="109"/>
      <c r="AL107" s="123"/>
      <c r="AM107" s="116">
        <f>[1]Calc!$F$47/[1]Calc!$F$95</f>
        <v>0.43248017104375852</v>
      </c>
      <c r="AN107" s="128"/>
      <c r="AO107" s="129"/>
      <c r="AP107" s="109"/>
      <c r="AQ107" s="123"/>
      <c r="AR107" s="116">
        <f>[1]Calc!$F$47/[1]Calc!$F$95</f>
        <v>0.43248017104375852</v>
      </c>
      <c r="AS107" s="128"/>
      <c r="AT107" s="129"/>
      <c r="AU107" s="109"/>
      <c r="AV107" s="123"/>
      <c r="AW107" s="114"/>
      <c r="AX107" s="128"/>
      <c r="AY107" s="122"/>
      <c r="AZ107" s="109"/>
      <c r="BA107" s="123">
        <f>AG107+AL107+AQ107+AV107</f>
        <v>0</v>
      </c>
      <c r="BB107" s="9"/>
    </row>
    <row r="108" spans="1:54" x14ac:dyDescent="0.35">
      <c r="A108" s="40"/>
      <c r="B108" s="131" t="s">
        <v>131</v>
      </c>
      <c r="C108" s="132" t="s">
        <v>124</v>
      </c>
      <c r="D108" s="128" t="s">
        <v>132</v>
      </c>
      <c r="E108" s="122">
        <v>11.607840892377384</v>
      </c>
      <c r="F108" s="109">
        <v>124.57546874999998</v>
      </c>
      <c r="G108" s="123">
        <v>1446.0522203433306</v>
      </c>
      <c r="H108" s="132"/>
      <c r="I108" s="128" t="s">
        <v>132</v>
      </c>
      <c r="J108" s="129">
        <v>2.901960223094346</v>
      </c>
      <c r="K108" s="130">
        <v>120</v>
      </c>
      <c r="L108" s="123">
        <v>348.23522677132149</v>
      </c>
      <c r="M108" s="30"/>
      <c r="N108" s="128" t="s">
        <v>132</v>
      </c>
      <c r="O108" s="129">
        <v>2.901960223094346</v>
      </c>
      <c r="P108" s="109">
        <v>122.99999999999999</v>
      </c>
      <c r="Q108" s="123">
        <v>356.94110744060453</v>
      </c>
      <c r="R108" s="114"/>
      <c r="S108" s="128" t="s">
        <v>132</v>
      </c>
      <c r="T108" s="129">
        <v>2.901960223094346</v>
      </c>
      <c r="U108" s="109">
        <v>126.07499999999997</v>
      </c>
      <c r="V108" s="123">
        <v>365.86463512661959</v>
      </c>
      <c r="W108" s="114"/>
      <c r="X108" s="128" t="s">
        <v>132</v>
      </c>
      <c r="Y108" s="129">
        <v>2.901960223094346</v>
      </c>
      <c r="Z108" s="109">
        <v>129.22687499999995</v>
      </c>
      <c r="AA108" s="123">
        <v>375.01125100478504</v>
      </c>
      <c r="AB108" s="132"/>
      <c r="AC108" s="124">
        <f>[1]Calc!$F$47/[1]Calc!$F$95</f>
        <v>0.43248017104375852</v>
      </c>
      <c r="AD108" s="128"/>
      <c r="AE108" s="129"/>
      <c r="AF108" s="130"/>
      <c r="AG108" s="123">
        <f>AC108*255</f>
        <v>110.28244361615842</v>
      </c>
      <c r="AH108" s="32">
        <f>[1]Calc!$F$47/[1]Calc!$F$95</f>
        <v>0.43248017104375852</v>
      </c>
      <c r="AI108" s="128"/>
      <c r="AJ108" s="129"/>
      <c r="AK108" s="109"/>
      <c r="AL108" s="123"/>
      <c r="AM108" s="116">
        <f>[1]Calc!$F$47/[1]Calc!$F$95</f>
        <v>0.43248017104375852</v>
      </c>
      <c r="AN108" s="128"/>
      <c r="AO108" s="129"/>
      <c r="AP108" s="109"/>
      <c r="AQ108" s="123"/>
      <c r="AR108" s="116">
        <f>[1]Calc!$F$47/[1]Calc!$F$95</f>
        <v>0.43248017104375852</v>
      </c>
      <c r="AS108" s="128"/>
      <c r="AT108" s="129"/>
      <c r="AU108" s="109"/>
      <c r="AV108" s="123"/>
      <c r="AW108" s="114"/>
      <c r="AX108" s="128"/>
      <c r="AY108" s="122"/>
      <c r="AZ108" s="109"/>
      <c r="BA108" s="123">
        <f>AG108+AL108+AQ108+AV108</f>
        <v>110.28244361615842</v>
      </c>
      <c r="BB108" s="9"/>
    </row>
    <row r="109" spans="1:54" x14ac:dyDescent="0.35">
      <c r="A109" s="40"/>
      <c r="B109" s="117" t="s">
        <v>133</v>
      </c>
      <c r="C109" s="133" t="s">
        <v>124</v>
      </c>
      <c r="D109" s="134" t="s">
        <v>134</v>
      </c>
      <c r="E109" s="122">
        <v>4</v>
      </c>
      <c r="F109" s="109">
        <v>5671.185752904431</v>
      </c>
      <c r="G109" s="125">
        <v>22684.743011617724</v>
      </c>
      <c r="H109" s="133"/>
      <c r="I109" s="134" t="s">
        <v>134</v>
      </c>
      <c r="J109" s="135">
        <v>1</v>
      </c>
      <c r="K109" s="109">
        <v>5272.9816730516477</v>
      </c>
      <c r="L109" s="125">
        <v>5272.9816730516477</v>
      </c>
      <c r="M109" s="30"/>
      <c r="N109" s="134" t="s">
        <v>134</v>
      </c>
      <c r="O109" s="135">
        <v>1</v>
      </c>
      <c r="P109" s="109">
        <v>5803.920446188692</v>
      </c>
      <c r="Q109" s="125">
        <v>5803.920446188692</v>
      </c>
      <c r="R109" s="114"/>
      <c r="S109" s="134" t="s">
        <v>134</v>
      </c>
      <c r="T109" s="135">
        <v>1</v>
      </c>
      <c r="U109" s="109">
        <v>5803.920446188692</v>
      </c>
      <c r="V109" s="125">
        <v>5803.920446188692</v>
      </c>
      <c r="W109" s="114"/>
      <c r="X109" s="134" t="s">
        <v>134</v>
      </c>
      <c r="Y109" s="135">
        <v>1</v>
      </c>
      <c r="Z109" s="109">
        <v>5803.920446188692</v>
      </c>
      <c r="AA109" s="125">
        <v>5803.920446188692</v>
      </c>
      <c r="AB109" s="133"/>
      <c r="AC109" s="124">
        <f>[1]Calc!$F$47/[1]Calc!$F$95</f>
        <v>0.43248017104375852</v>
      </c>
      <c r="AD109" s="134"/>
      <c r="AE109" s="135"/>
      <c r="AF109" s="109"/>
      <c r="AG109" s="125">
        <f>AC109*3699.58</f>
        <v>1599.994991190068</v>
      </c>
      <c r="AH109" s="32">
        <f>[1]Calc!$F$47/[1]Calc!$F$95</f>
        <v>0.43248017104375852</v>
      </c>
      <c r="AI109" s="134"/>
      <c r="AJ109" s="135"/>
      <c r="AK109" s="109"/>
      <c r="AL109" s="125"/>
      <c r="AM109" s="116">
        <f>[1]Calc!$F$47/[1]Calc!$F$95</f>
        <v>0.43248017104375852</v>
      </c>
      <c r="AN109" s="134"/>
      <c r="AO109" s="135"/>
      <c r="AP109" s="109"/>
      <c r="AQ109" s="125"/>
      <c r="AR109" s="116">
        <f>[1]Calc!$F$47/[1]Calc!$F$95</f>
        <v>0.43248017104375852</v>
      </c>
      <c r="AS109" s="134"/>
      <c r="AT109" s="135"/>
      <c r="AU109" s="109"/>
      <c r="AV109" s="125"/>
      <c r="AW109" s="114"/>
      <c r="AX109" s="134"/>
      <c r="AY109" s="122"/>
      <c r="AZ109" s="109"/>
      <c r="BA109" s="125">
        <f>AG109+AL109+AQ109+AV109</f>
        <v>1599.994991190068</v>
      </c>
      <c r="BB109" s="9"/>
    </row>
    <row r="110" spans="1:54" x14ac:dyDescent="0.35">
      <c r="A110" s="40"/>
      <c r="B110" s="117" t="s">
        <v>118</v>
      </c>
      <c r="C110" s="132" t="s">
        <v>124</v>
      </c>
      <c r="D110" s="128" t="s">
        <v>120</v>
      </c>
      <c r="E110" s="122">
        <v>4</v>
      </c>
      <c r="F110" s="136">
        <v>967.32007436478193</v>
      </c>
      <c r="G110" s="125">
        <v>3869.2802974591277</v>
      </c>
      <c r="H110" s="132"/>
      <c r="I110" s="128" t="s">
        <v>120</v>
      </c>
      <c r="J110" s="129">
        <v>1</v>
      </c>
      <c r="K110" s="136">
        <v>967.32007436478193</v>
      </c>
      <c r="L110" s="125">
        <v>967.32007436478193</v>
      </c>
      <c r="M110" s="30"/>
      <c r="N110" s="128" t="s">
        <v>120</v>
      </c>
      <c r="O110" s="129">
        <v>1</v>
      </c>
      <c r="P110" s="136">
        <v>967.32007436478193</v>
      </c>
      <c r="Q110" s="125">
        <v>967.32007436478193</v>
      </c>
      <c r="R110" s="114"/>
      <c r="S110" s="128" t="s">
        <v>120</v>
      </c>
      <c r="T110" s="129">
        <v>1</v>
      </c>
      <c r="U110" s="136">
        <v>967.32007436478193</v>
      </c>
      <c r="V110" s="125">
        <v>967.32007436478193</v>
      </c>
      <c r="W110" s="114"/>
      <c r="X110" s="128" t="s">
        <v>120</v>
      </c>
      <c r="Y110" s="129">
        <v>1</v>
      </c>
      <c r="Z110" s="136">
        <v>967.32007436478193</v>
      </c>
      <c r="AA110" s="125">
        <v>967.32007436478193</v>
      </c>
      <c r="AB110" s="132"/>
      <c r="AC110" s="124">
        <f>[1]Calc!$F$47/[1]Calc!$F$95</f>
        <v>0.43248017104375852</v>
      </c>
      <c r="AD110" s="128"/>
      <c r="AE110" s="129"/>
      <c r="AF110" s="136"/>
      <c r="AG110" s="125">
        <f>AC110*0</f>
        <v>0</v>
      </c>
      <c r="AH110" s="32">
        <f>[1]Calc!$F$47/[1]Calc!$F$95</f>
        <v>0.43248017104375852</v>
      </c>
      <c r="AI110" s="128"/>
      <c r="AJ110" s="129"/>
      <c r="AK110" s="136"/>
      <c r="AL110" s="125"/>
      <c r="AM110" s="116">
        <f>[1]Calc!$F$47/[1]Calc!$F$95</f>
        <v>0.43248017104375852</v>
      </c>
      <c r="AN110" s="128"/>
      <c r="AO110" s="129"/>
      <c r="AP110" s="136"/>
      <c r="AQ110" s="125"/>
      <c r="AR110" s="116">
        <f>[1]Calc!$F$47/[1]Calc!$F$95</f>
        <v>0.43248017104375852</v>
      </c>
      <c r="AS110" s="128"/>
      <c r="AT110" s="129"/>
      <c r="AU110" s="136"/>
      <c r="AV110" s="125"/>
      <c r="AW110" s="114"/>
      <c r="AX110" s="128"/>
      <c r="AY110" s="122"/>
      <c r="AZ110" s="136"/>
      <c r="BA110" s="125">
        <f>AG110+AL110+AQ110+AV110</f>
        <v>0</v>
      </c>
      <c r="BB110" s="9"/>
    </row>
    <row r="111" spans="1:54" x14ac:dyDescent="0.35">
      <c r="A111" s="40"/>
      <c r="B111" s="84"/>
      <c r="C111" s="104"/>
      <c r="D111" s="75"/>
      <c r="E111" s="44"/>
      <c r="F111" s="88"/>
      <c r="G111" s="56"/>
      <c r="H111" s="104"/>
      <c r="I111" s="75"/>
      <c r="J111" s="44"/>
      <c r="K111" s="88"/>
      <c r="L111" s="56"/>
      <c r="M111" s="30"/>
      <c r="N111" s="75"/>
      <c r="O111" s="44"/>
      <c r="P111" s="88"/>
      <c r="Q111" s="56"/>
      <c r="R111" s="30"/>
      <c r="S111" s="75"/>
      <c r="T111" s="44"/>
      <c r="U111" s="88"/>
      <c r="V111" s="56"/>
      <c r="W111" s="30"/>
      <c r="X111" s="75"/>
      <c r="Y111" s="44"/>
      <c r="Z111" s="88"/>
      <c r="AA111" s="56"/>
      <c r="AB111" s="104"/>
      <c r="AC111" s="90"/>
      <c r="AD111" s="75"/>
      <c r="AE111" s="44"/>
      <c r="AF111" s="88"/>
      <c r="AG111" s="56"/>
      <c r="AH111" s="32"/>
      <c r="AI111" s="75"/>
      <c r="AJ111" s="44"/>
      <c r="AK111" s="88"/>
      <c r="AL111" s="56"/>
      <c r="AM111" s="32"/>
      <c r="AN111" s="75"/>
      <c r="AO111" s="44"/>
      <c r="AP111" s="88"/>
      <c r="AQ111" s="56"/>
      <c r="AR111" s="32"/>
      <c r="AS111" s="75"/>
      <c r="AT111" s="44"/>
      <c r="AU111" s="88"/>
      <c r="AV111" s="56"/>
      <c r="AW111" s="30"/>
      <c r="AX111" s="75"/>
      <c r="AY111" s="44"/>
      <c r="AZ111" s="88"/>
      <c r="BA111" s="56"/>
      <c r="BB111" s="9"/>
    </row>
    <row r="112" spans="1:54" x14ac:dyDescent="0.35">
      <c r="A112" s="40"/>
      <c r="B112" s="64" t="s">
        <v>135</v>
      </c>
      <c r="C112" s="65"/>
      <c r="D112" s="66"/>
      <c r="E112" s="67"/>
      <c r="F112" s="68"/>
      <c r="G112" s="69">
        <v>732823.17250066681</v>
      </c>
      <c r="H112" s="65"/>
      <c r="I112" s="66"/>
      <c r="J112" s="67"/>
      <c r="K112" s="68"/>
      <c r="L112" s="69">
        <v>145604.77294351056</v>
      </c>
      <c r="M112" s="30"/>
      <c r="N112" s="66"/>
      <c r="O112" s="67"/>
      <c r="P112" s="68"/>
      <c r="Q112" s="69">
        <v>261281.69125042425</v>
      </c>
      <c r="R112" s="30"/>
      <c r="S112" s="66"/>
      <c r="T112" s="67"/>
      <c r="U112" s="68"/>
      <c r="V112" s="69">
        <v>233238.23327513141</v>
      </c>
      <c r="W112" s="30"/>
      <c r="X112" s="66"/>
      <c r="Y112" s="67"/>
      <c r="Z112" s="68"/>
      <c r="AA112" s="69">
        <v>92698.475031600523</v>
      </c>
      <c r="AB112" s="65"/>
      <c r="AC112" s="70"/>
      <c r="AD112" s="66"/>
      <c r="AE112" s="67"/>
      <c r="AF112" s="68"/>
      <c r="AG112" s="69">
        <f>AG114+AG118+AG125</f>
        <v>178163.07799999998</v>
      </c>
      <c r="AH112" s="32"/>
      <c r="AI112" s="66"/>
      <c r="AJ112" s="67"/>
      <c r="AK112" s="68"/>
      <c r="AL112" s="69">
        <f>AL114+AL118+AL125</f>
        <v>0</v>
      </c>
      <c r="AM112" s="32"/>
      <c r="AN112" s="66"/>
      <c r="AO112" s="67"/>
      <c r="AP112" s="68"/>
      <c r="AQ112" s="69">
        <f>AQ114+AQ118+AQ125</f>
        <v>0</v>
      </c>
      <c r="AR112" s="32"/>
      <c r="AS112" s="66"/>
      <c r="AT112" s="67"/>
      <c r="AU112" s="68"/>
      <c r="AV112" s="69">
        <f>AV114+AV118+AV125</f>
        <v>0</v>
      </c>
      <c r="AW112" s="30"/>
      <c r="AX112" s="66"/>
      <c r="AY112" s="67"/>
      <c r="AZ112" s="68"/>
      <c r="BA112" s="69">
        <f>BA114+BA118+BA125</f>
        <v>178163.07799999998</v>
      </c>
      <c r="BB112" s="9"/>
    </row>
    <row r="113" spans="1:54" x14ac:dyDescent="0.35">
      <c r="A113" s="40"/>
      <c r="B113" s="137" t="s">
        <v>136</v>
      </c>
      <c r="C113" s="42"/>
      <c r="D113" s="138"/>
      <c r="E113" s="97"/>
      <c r="F113" s="78"/>
      <c r="G113" s="139">
        <v>539359.15762771037</v>
      </c>
      <c r="H113" s="42"/>
      <c r="I113" s="43"/>
      <c r="J113" s="44"/>
      <c r="K113" s="78"/>
      <c r="L113" s="139">
        <v>77852.281994094126</v>
      </c>
      <c r="M113" s="98"/>
      <c r="N113" s="138"/>
      <c r="O113" s="97"/>
      <c r="P113" s="78"/>
      <c r="Q113" s="139">
        <v>208018.95854453873</v>
      </c>
      <c r="R113" s="98"/>
      <c r="S113" s="138"/>
      <c r="T113" s="97"/>
      <c r="U113" s="78"/>
      <c r="V113" s="139">
        <v>189768.95854453873</v>
      </c>
      <c r="W113" s="98"/>
      <c r="X113" s="138"/>
      <c r="Y113" s="97"/>
      <c r="Z113" s="78"/>
      <c r="AA113" s="139">
        <v>63718.958544538742</v>
      </c>
      <c r="AB113" s="42"/>
      <c r="AC113" s="46"/>
      <c r="AD113" s="43"/>
      <c r="AE113" s="44"/>
      <c r="AF113" s="78"/>
      <c r="AG113" s="139">
        <f>AG114+AG118</f>
        <v>178163.07799999998</v>
      </c>
      <c r="AH113" s="100"/>
      <c r="AI113" s="138"/>
      <c r="AJ113" s="97"/>
      <c r="AK113" s="78"/>
      <c r="AL113" s="139">
        <f>AL114+AL118</f>
        <v>0</v>
      </c>
      <c r="AM113" s="100"/>
      <c r="AN113" s="138"/>
      <c r="AO113" s="97"/>
      <c r="AP113" s="78"/>
      <c r="AQ113" s="139">
        <f>AQ114+AQ118</f>
        <v>0</v>
      </c>
      <c r="AR113" s="100"/>
      <c r="AS113" s="138"/>
      <c r="AT113" s="97"/>
      <c r="AU113" s="78"/>
      <c r="AV113" s="139">
        <f>AV114+AV118</f>
        <v>0</v>
      </c>
      <c r="AW113" s="98"/>
      <c r="AX113" s="138"/>
      <c r="AY113" s="97"/>
      <c r="AZ113" s="78"/>
      <c r="BA113" s="139">
        <f>BA114+BA118</f>
        <v>178163.07799999998</v>
      </c>
      <c r="BB113" s="9"/>
    </row>
    <row r="114" spans="1:54" x14ac:dyDescent="0.35">
      <c r="A114" s="40"/>
      <c r="B114" s="73" t="s">
        <v>137</v>
      </c>
      <c r="C114" s="74"/>
      <c r="D114" s="75"/>
      <c r="E114" s="76"/>
      <c r="F114" s="77"/>
      <c r="G114" s="140">
        <v>146359.15762771037</v>
      </c>
      <c r="H114" s="74"/>
      <c r="I114" s="75"/>
      <c r="J114" s="76"/>
      <c r="K114" s="77"/>
      <c r="L114" s="140">
        <v>22552.281994094126</v>
      </c>
      <c r="M114" s="30"/>
      <c r="N114" s="75"/>
      <c r="O114" s="76"/>
      <c r="P114" s="77"/>
      <c r="Q114" s="140">
        <v>41268.958544538742</v>
      </c>
      <c r="R114" s="30"/>
      <c r="S114" s="75"/>
      <c r="T114" s="76"/>
      <c r="U114" s="77"/>
      <c r="V114" s="140">
        <v>41268.958544538742</v>
      </c>
      <c r="W114" s="30"/>
      <c r="X114" s="75"/>
      <c r="Y114" s="76"/>
      <c r="Z114" s="77"/>
      <c r="AA114" s="140">
        <v>41268.958544538742</v>
      </c>
      <c r="AB114" s="74"/>
      <c r="AC114" s="46"/>
      <c r="AD114" s="75"/>
      <c r="AE114" s="76"/>
      <c r="AF114" s="77"/>
      <c r="AG114" s="140">
        <f>SUM(AG115:AG117)</f>
        <v>24556.421999999999</v>
      </c>
      <c r="AH114" s="32"/>
      <c r="AI114" s="75"/>
      <c r="AJ114" s="76"/>
      <c r="AK114" s="77"/>
      <c r="AL114" s="140">
        <f>SUM(AL115:AL117)</f>
        <v>0</v>
      </c>
      <c r="AM114" s="32"/>
      <c r="AN114" s="75"/>
      <c r="AO114" s="76"/>
      <c r="AP114" s="77"/>
      <c r="AQ114" s="140">
        <f>SUM(AQ115:AQ117)</f>
        <v>0</v>
      </c>
      <c r="AR114" s="32"/>
      <c r="AS114" s="75"/>
      <c r="AT114" s="76"/>
      <c r="AU114" s="77"/>
      <c r="AV114" s="140">
        <f>SUM(AV115:AV117)</f>
        <v>0</v>
      </c>
      <c r="AW114" s="30"/>
      <c r="AX114" s="75"/>
      <c r="AY114" s="76"/>
      <c r="AZ114" s="77"/>
      <c r="BA114" s="140">
        <f>SUM(BA115:BA117)</f>
        <v>24556.421999999999</v>
      </c>
      <c r="BB114" s="9"/>
    </row>
    <row r="115" spans="1:54" x14ac:dyDescent="0.35">
      <c r="A115" s="40"/>
      <c r="B115" s="79" t="s">
        <v>138</v>
      </c>
      <c r="C115" s="74" t="s">
        <v>27</v>
      </c>
      <c r="D115" s="75" t="s">
        <v>28</v>
      </c>
      <c r="E115" s="141">
        <v>43</v>
      </c>
      <c r="F115" s="142">
        <v>1273.6612308428753</v>
      </c>
      <c r="G115" s="77">
        <v>54767.432926243637</v>
      </c>
      <c r="H115" s="74"/>
      <c r="I115" s="75" t="s">
        <v>28</v>
      </c>
      <c r="J115" s="141">
        <v>7</v>
      </c>
      <c r="K115" s="142">
        <v>1273.6612308428753</v>
      </c>
      <c r="L115" s="77">
        <v>8915.6286159001265</v>
      </c>
      <c r="M115" s="30"/>
      <c r="N115" s="75" t="s">
        <v>28</v>
      </c>
      <c r="O115" s="141">
        <v>12</v>
      </c>
      <c r="P115" s="142">
        <v>1273.6612308428753</v>
      </c>
      <c r="Q115" s="77">
        <v>15283.934770114503</v>
      </c>
      <c r="R115" s="30"/>
      <c r="S115" s="75" t="s">
        <v>28</v>
      </c>
      <c r="T115" s="141">
        <v>12</v>
      </c>
      <c r="U115" s="142">
        <v>1273.6612308428753</v>
      </c>
      <c r="V115" s="77">
        <v>15283.934770114503</v>
      </c>
      <c r="W115" s="30"/>
      <c r="X115" s="75" t="s">
        <v>28</v>
      </c>
      <c r="Y115" s="141">
        <v>12</v>
      </c>
      <c r="Z115" s="142">
        <v>1273.6612308428753</v>
      </c>
      <c r="AA115" s="77">
        <v>15283.934770114503</v>
      </c>
      <c r="AB115" s="74"/>
      <c r="AC115" s="46"/>
      <c r="AD115" s="75"/>
      <c r="AE115" s="141"/>
      <c r="AF115" s="142"/>
      <c r="AG115" s="77">
        <v>5078.271999999999</v>
      </c>
      <c r="AH115" s="32"/>
      <c r="AI115" s="75"/>
      <c r="AJ115" s="141"/>
      <c r="AK115" s="142"/>
      <c r="AL115" s="77"/>
      <c r="AM115" s="32"/>
      <c r="AN115" s="75"/>
      <c r="AO115" s="141"/>
      <c r="AP115" s="142"/>
      <c r="AQ115" s="77"/>
      <c r="AR115" s="32"/>
      <c r="AS115" s="75"/>
      <c r="AT115" s="141"/>
      <c r="AU115" s="142"/>
      <c r="AV115" s="77"/>
      <c r="AW115" s="30"/>
      <c r="AX115" s="75"/>
      <c r="AY115" s="141"/>
      <c r="AZ115" s="142"/>
      <c r="BA115" s="77">
        <f>AG115+AL115+AQ115+AV115</f>
        <v>5078.271999999999</v>
      </c>
      <c r="BB115" s="9"/>
    </row>
    <row r="116" spans="1:54" x14ac:dyDescent="0.35">
      <c r="A116" s="40"/>
      <c r="B116" s="79" t="s">
        <v>139</v>
      </c>
      <c r="C116" s="74" t="s">
        <v>35</v>
      </c>
      <c r="D116" s="75" t="s">
        <v>28</v>
      </c>
      <c r="E116" s="141">
        <v>126</v>
      </c>
      <c r="F116" s="142">
        <v>686.02057756834688</v>
      </c>
      <c r="G116" s="77">
        <v>86438.592773611701</v>
      </c>
      <c r="H116" s="74"/>
      <c r="I116" s="75" t="s">
        <v>28</v>
      </c>
      <c r="J116" s="143">
        <v>18</v>
      </c>
      <c r="K116" s="144">
        <v>686.02057756834677</v>
      </c>
      <c r="L116" s="77">
        <v>12348.370396230242</v>
      </c>
      <c r="M116" s="30"/>
      <c r="N116" s="75" t="s">
        <v>28</v>
      </c>
      <c r="O116" s="143">
        <v>36</v>
      </c>
      <c r="P116" s="144">
        <v>686.02057756834677</v>
      </c>
      <c r="Q116" s="77">
        <v>24696.740792460485</v>
      </c>
      <c r="R116" s="30"/>
      <c r="S116" s="75" t="s">
        <v>28</v>
      </c>
      <c r="T116" s="143">
        <v>36</v>
      </c>
      <c r="U116" s="144">
        <v>686.02057756834677</v>
      </c>
      <c r="V116" s="77">
        <v>24696.740792460485</v>
      </c>
      <c r="W116" s="30"/>
      <c r="X116" s="75" t="s">
        <v>28</v>
      </c>
      <c r="Y116" s="143">
        <v>36</v>
      </c>
      <c r="Z116" s="144">
        <v>686.02057756834677</v>
      </c>
      <c r="AA116" s="77">
        <v>24696.740792460485</v>
      </c>
      <c r="AB116" s="74"/>
      <c r="AC116" s="46"/>
      <c r="AD116" s="75"/>
      <c r="AE116" s="143"/>
      <c r="AF116" s="144"/>
      <c r="AG116" s="77">
        <v>11931.16</v>
      </c>
      <c r="AH116" s="32"/>
      <c r="AI116" s="75"/>
      <c r="AJ116" s="143"/>
      <c r="AK116" s="144"/>
      <c r="AL116" s="77"/>
      <c r="AM116" s="32"/>
      <c r="AN116" s="75"/>
      <c r="AO116" s="143"/>
      <c r="AP116" s="144"/>
      <c r="AQ116" s="77"/>
      <c r="AR116" s="32"/>
      <c r="AS116" s="75"/>
      <c r="AT116" s="143"/>
      <c r="AU116" s="144"/>
      <c r="AV116" s="77"/>
      <c r="AW116" s="30"/>
      <c r="AX116" s="75"/>
      <c r="AY116" s="141"/>
      <c r="AZ116" s="142"/>
      <c r="BA116" s="77">
        <f>AG116+AL116+AQ116+AV116</f>
        <v>11931.16</v>
      </c>
      <c r="BB116" s="9"/>
    </row>
    <row r="117" spans="1:54" x14ac:dyDescent="0.35">
      <c r="A117" s="40"/>
      <c r="B117" s="85" t="s">
        <v>140</v>
      </c>
      <c r="C117" s="74" t="s">
        <v>27</v>
      </c>
      <c r="D117" s="75" t="s">
        <v>28</v>
      </c>
      <c r="E117" s="141">
        <v>48</v>
      </c>
      <c r="F117" s="142">
        <v>107.35691516364641</v>
      </c>
      <c r="G117" s="77">
        <v>5153.1319278550272</v>
      </c>
      <c r="H117" s="74"/>
      <c r="I117" s="75" t="s">
        <v>28</v>
      </c>
      <c r="J117" s="143">
        <v>12</v>
      </c>
      <c r="K117" s="144">
        <v>107.35691516364639</v>
      </c>
      <c r="L117" s="77">
        <v>1288.2829819637568</v>
      </c>
      <c r="M117" s="30"/>
      <c r="N117" s="75" t="s">
        <v>28</v>
      </c>
      <c r="O117" s="143">
        <v>12</v>
      </c>
      <c r="P117" s="144">
        <v>107.35691516364639</v>
      </c>
      <c r="Q117" s="77">
        <v>1288.2829819637568</v>
      </c>
      <c r="R117" s="30"/>
      <c r="S117" s="75" t="s">
        <v>28</v>
      </c>
      <c r="T117" s="143">
        <v>12</v>
      </c>
      <c r="U117" s="144">
        <v>107.35691516364639</v>
      </c>
      <c r="V117" s="77">
        <v>1288.2829819637568</v>
      </c>
      <c r="W117" s="30"/>
      <c r="X117" s="75" t="s">
        <v>28</v>
      </c>
      <c r="Y117" s="143">
        <v>12</v>
      </c>
      <c r="Z117" s="144">
        <v>107.35691516364639</v>
      </c>
      <c r="AA117" s="77">
        <v>1288.2829819637568</v>
      </c>
      <c r="AB117" s="74"/>
      <c r="AC117" s="46"/>
      <c r="AD117" s="75"/>
      <c r="AE117" s="143"/>
      <c r="AF117" s="144"/>
      <c r="AG117" s="77">
        <v>7546.9899999999989</v>
      </c>
      <c r="AH117" s="32"/>
      <c r="AI117" s="75"/>
      <c r="AJ117" s="143"/>
      <c r="AK117" s="144"/>
      <c r="AL117" s="77"/>
      <c r="AM117" s="32"/>
      <c r="AN117" s="75"/>
      <c r="AO117" s="143"/>
      <c r="AP117" s="144"/>
      <c r="AQ117" s="77"/>
      <c r="AR117" s="32"/>
      <c r="AS117" s="75"/>
      <c r="AT117" s="143"/>
      <c r="AU117" s="144"/>
      <c r="AV117" s="77"/>
      <c r="AW117" s="30"/>
      <c r="AX117" s="75"/>
      <c r="AY117" s="141"/>
      <c r="AZ117" s="142"/>
      <c r="BA117" s="77">
        <f>AG117+AL117+AQ117+AV117</f>
        <v>7546.9899999999989</v>
      </c>
      <c r="BB117" s="9"/>
    </row>
    <row r="118" spans="1:54" x14ac:dyDescent="0.35">
      <c r="A118" s="40"/>
      <c r="B118" s="73" t="s">
        <v>141</v>
      </c>
      <c r="C118" s="74"/>
      <c r="D118" s="75"/>
      <c r="E118" s="143"/>
      <c r="F118" s="144"/>
      <c r="G118" s="145">
        <v>393000</v>
      </c>
      <c r="H118" s="74"/>
      <c r="I118" s="75"/>
      <c r="J118" s="143"/>
      <c r="K118" s="144"/>
      <c r="L118" s="145">
        <v>55300</v>
      </c>
      <c r="M118" s="30"/>
      <c r="N118" s="75"/>
      <c r="O118" s="143"/>
      <c r="P118" s="144"/>
      <c r="Q118" s="145">
        <v>166750</v>
      </c>
      <c r="R118" s="30"/>
      <c r="S118" s="75"/>
      <c r="T118" s="143"/>
      <c r="U118" s="144"/>
      <c r="V118" s="145">
        <v>148500</v>
      </c>
      <c r="W118" s="30"/>
      <c r="X118" s="75"/>
      <c r="Y118" s="143"/>
      <c r="Z118" s="144"/>
      <c r="AA118" s="145">
        <v>22450</v>
      </c>
      <c r="AB118" s="74"/>
      <c r="AC118" s="46"/>
      <c r="AD118" s="75"/>
      <c r="AE118" s="143"/>
      <c r="AF118" s="144"/>
      <c r="AG118" s="145">
        <f>SUM(AG119:AG122)</f>
        <v>153606.65599999999</v>
      </c>
      <c r="AH118" s="32"/>
      <c r="AI118" s="75"/>
      <c r="AJ118" s="143"/>
      <c r="AK118" s="144"/>
      <c r="AL118" s="145"/>
      <c r="AM118" s="32"/>
      <c r="AN118" s="75"/>
      <c r="AO118" s="143"/>
      <c r="AP118" s="144"/>
      <c r="AQ118" s="145"/>
      <c r="AR118" s="32"/>
      <c r="AS118" s="75"/>
      <c r="AT118" s="143"/>
      <c r="AU118" s="144"/>
      <c r="AV118" s="145"/>
      <c r="AW118" s="30"/>
      <c r="AX118" s="75"/>
      <c r="AY118" s="143"/>
      <c r="AZ118" s="144"/>
      <c r="BA118" s="145">
        <f>SUM(BA119:BA122)</f>
        <v>153606.65599999999</v>
      </c>
      <c r="BB118" s="9"/>
    </row>
    <row r="119" spans="1:54" x14ac:dyDescent="0.35">
      <c r="A119" s="40"/>
      <c r="B119" s="86" t="s">
        <v>142</v>
      </c>
      <c r="C119" s="74"/>
      <c r="D119" s="75" t="s">
        <v>143</v>
      </c>
      <c r="E119" s="76">
        <v>1</v>
      </c>
      <c r="F119" s="45">
        <v>9000</v>
      </c>
      <c r="G119" s="56">
        <v>9000</v>
      </c>
      <c r="H119" s="74"/>
      <c r="I119" s="75" t="s">
        <v>143</v>
      </c>
      <c r="J119" s="76">
        <v>1</v>
      </c>
      <c r="K119" s="45">
        <v>9000</v>
      </c>
      <c r="L119" s="56">
        <v>9000</v>
      </c>
      <c r="M119" s="30"/>
      <c r="N119" s="75"/>
      <c r="O119" s="76"/>
      <c r="P119" s="45"/>
      <c r="Q119" s="56">
        <v>0</v>
      </c>
      <c r="R119" s="30"/>
      <c r="S119" s="75"/>
      <c r="T119" s="76"/>
      <c r="U119" s="45"/>
      <c r="V119" s="56">
        <v>0</v>
      </c>
      <c r="W119" s="30"/>
      <c r="X119" s="75"/>
      <c r="Y119" s="76"/>
      <c r="Z119" s="45"/>
      <c r="AA119" s="56">
        <v>0</v>
      </c>
      <c r="AB119" s="74"/>
      <c r="AC119" s="46"/>
      <c r="AD119" s="75"/>
      <c r="AE119" s="76"/>
      <c r="AF119" s="45"/>
      <c r="AG119" s="146">
        <v>6860.2069999999994</v>
      </c>
      <c r="AH119" s="32"/>
      <c r="AI119" s="75"/>
      <c r="AJ119" s="76"/>
      <c r="AK119" s="45"/>
      <c r="AL119" s="56"/>
      <c r="AM119" s="32"/>
      <c r="AN119" s="75"/>
      <c r="AO119" s="76"/>
      <c r="AP119" s="45"/>
      <c r="AQ119" s="56"/>
      <c r="AR119" s="32"/>
      <c r="AS119" s="75"/>
      <c r="AT119" s="76"/>
      <c r="AU119" s="45"/>
      <c r="AV119" s="56"/>
      <c r="AW119" s="30"/>
      <c r="AX119" s="75"/>
      <c r="AY119" s="76"/>
      <c r="AZ119" s="45"/>
      <c r="BA119" s="56">
        <f>AG119+AL119+AQ119+AV119</f>
        <v>6860.2069999999994</v>
      </c>
      <c r="BB119" s="9"/>
    </row>
    <row r="120" spans="1:54" x14ac:dyDescent="0.35">
      <c r="A120" s="40"/>
      <c r="B120" s="86" t="s">
        <v>144</v>
      </c>
      <c r="C120" s="74"/>
      <c r="D120" s="75" t="s">
        <v>145</v>
      </c>
      <c r="E120" s="76">
        <v>1</v>
      </c>
      <c r="F120" s="45">
        <v>9000</v>
      </c>
      <c r="G120" s="56">
        <v>9000</v>
      </c>
      <c r="H120" s="74"/>
      <c r="I120" s="75"/>
      <c r="J120" s="76"/>
      <c r="K120" s="147"/>
      <c r="L120" s="56"/>
      <c r="M120" s="30"/>
      <c r="N120" s="75"/>
      <c r="O120" s="76"/>
      <c r="P120" s="147"/>
      <c r="Q120" s="56"/>
      <c r="R120" s="30"/>
      <c r="S120" s="75"/>
      <c r="T120" s="76"/>
      <c r="U120" s="147"/>
      <c r="V120" s="56"/>
      <c r="W120" s="30"/>
      <c r="X120" s="75" t="s">
        <v>145</v>
      </c>
      <c r="Y120" s="76">
        <v>1</v>
      </c>
      <c r="Z120" s="147">
        <v>9000</v>
      </c>
      <c r="AA120" s="56">
        <v>9000</v>
      </c>
      <c r="AB120" s="74"/>
      <c r="AC120" s="46"/>
      <c r="AD120" s="75"/>
      <c r="AE120" s="76"/>
      <c r="AF120" s="147"/>
      <c r="AG120" s="56">
        <v>0</v>
      </c>
      <c r="AH120" s="32"/>
      <c r="AI120" s="75"/>
      <c r="AJ120" s="76"/>
      <c r="AK120" s="147"/>
      <c r="AL120" s="56"/>
      <c r="AM120" s="32"/>
      <c r="AN120" s="75"/>
      <c r="AO120" s="76"/>
      <c r="AP120" s="147"/>
      <c r="AQ120" s="56"/>
      <c r="AR120" s="32"/>
      <c r="AS120" s="75"/>
      <c r="AT120" s="76"/>
      <c r="AU120" s="147"/>
      <c r="AV120" s="56"/>
      <c r="AW120" s="30"/>
      <c r="AX120" s="75"/>
      <c r="AY120" s="76"/>
      <c r="AZ120" s="45"/>
      <c r="BA120" s="56">
        <f>AG120+AL120+AQ120+AV120</f>
        <v>0</v>
      </c>
      <c r="BB120" s="9"/>
    </row>
    <row r="121" spans="1:54" x14ac:dyDescent="0.35">
      <c r="A121" s="40"/>
      <c r="B121" s="86" t="s">
        <v>146</v>
      </c>
      <c r="C121" s="74"/>
      <c r="D121" s="75" t="s">
        <v>107</v>
      </c>
      <c r="E121" s="76">
        <v>4</v>
      </c>
      <c r="F121" s="148">
        <v>2500</v>
      </c>
      <c r="G121" s="56">
        <v>10000</v>
      </c>
      <c r="H121" s="74"/>
      <c r="I121" s="75" t="s">
        <v>107</v>
      </c>
      <c r="J121" s="76">
        <v>1</v>
      </c>
      <c r="K121" s="148">
        <v>2500</v>
      </c>
      <c r="L121" s="56">
        <v>2500</v>
      </c>
      <c r="M121" s="30"/>
      <c r="N121" s="75" t="s">
        <v>107</v>
      </c>
      <c r="O121" s="76">
        <v>1</v>
      </c>
      <c r="P121" s="148">
        <v>2500</v>
      </c>
      <c r="Q121" s="56">
        <v>2500</v>
      </c>
      <c r="R121" s="30"/>
      <c r="S121" s="75" t="s">
        <v>107</v>
      </c>
      <c r="T121" s="76">
        <v>1</v>
      </c>
      <c r="U121" s="148">
        <v>2500</v>
      </c>
      <c r="V121" s="56">
        <v>2500</v>
      </c>
      <c r="W121" s="30"/>
      <c r="X121" s="75" t="s">
        <v>107</v>
      </c>
      <c r="Y121" s="76">
        <v>1</v>
      </c>
      <c r="Z121" s="148">
        <v>2500</v>
      </c>
      <c r="AA121" s="56">
        <v>2500</v>
      </c>
      <c r="AB121" s="74"/>
      <c r="AC121" s="46"/>
      <c r="AD121" s="75"/>
      <c r="AE121" s="76"/>
      <c r="AF121" s="148"/>
      <c r="AG121" s="56">
        <v>0</v>
      </c>
      <c r="AH121" s="32"/>
      <c r="AI121" s="75"/>
      <c r="AJ121" s="76"/>
      <c r="AK121" s="148"/>
      <c r="AL121" s="56"/>
      <c r="AM121" s="32"/>
      <c r="AN121" s="75"/>
      <c r="AO121" s="76"/>
      <c r="AP121" s="148"/>
      <c r="AQ121" s="56"/>
      <c r="AR121" s="32"/>
      <c r="AS121" s="75"/>
      <c r="AT121" s="76"/>
      <c r="AU121" s="148"/>
      <c r="AV121" s="56"/>
      <c r="AW121" s="30"/>
      <c r="AX121" s="75"/>
      <c r="AY121" s="76"/>
      <c r="AZ121" s="148"/>
      <c r="BA121" s="56">
        <f>AG121+AL121+AQ121+AV121</f>
        <v>0</v>
      </c>
      <c r="BB121" s="9"/>
    </row>
    <row r="122" spans="1:54" ht="43.5" x14ac:dyDescent="0.35">
      <c r="A122" s="40"/>
      <c r="B122" s="92" t="s">
        <v>147</v>
      </c>
      <c r="C122" s="104" t="s">
        <v>148</v>
      </c>
      <c r="D122" s="75" t="s">
        <v>134</v>
      </c>
      <c r="E122" s="76"/>
      <c r="F122" s="89"/>
      <c r="G122" s="56">
        <v>365000</v>
      </c>
      <c r="H122" s="104"/>
      <c r="I122" s="75" t="s">
        <v>134</v>
      </c>
      <c r="J122" s="76"/>
      <c r="K122" s="89"/>
      <c r="L122" s="56">
        <v>43800</v>
      </c>
      <c r="M122" s="30"/>
      <c r="N122" s="75" t="s">
        <v>134</v>
      </c>
      <c r="O122" s="76"/>
      <c r="P122" s="89"/>
      <c r="Q122" s="56">
        <v>164250</v>
      </c>
      <c r="R122" s="30"/>
      <c r="S122" s="75" t="s">
        <v>134</v>
      </c>
      <c r="T122" s="76"/>
      <c r="U122" s="89"/>
      <c r="V122" s="56">
        <v>146000</v>
      </c>
      <c r="W122" s="30"/>
      <c r="X122" s="75" t="s">
        <v>134</v>
      </c>
      <c r="Y122" s="76"/>
      <c r="Z122" s="89"/>
      <c r="AA122" s="56">
        <v>10950</v>
      </c>
      <c r="AB122" s="104"/>
      <c r="AC122" s="90"/>
      <c r="AD122" s="75"/>
      <c r="AE122" s="76"/>
      <c r="AF122" s="89"/>
      <c r="AG122" s="56">
        <v>146746.44899999999</v>
      </c>
      <c r="AH122" s="32"/>
      <c r="AI122" s="75"/>
      <c r="AJ122" s="76"/>
      <c r="AK122" s="89"/>
      <c r="AL122" s="56"/>
      <c r="AM122" s="32"/>
      <c r="AN122" s="75"/>
      <c r="AO122" s="76"/>
      <c r="AP122" s="89"/>
      <c r="AQ122" s="56"/>
      <c r="AR122" s="32"/>
      <c r="AS122" s="75"/>
      <c r="AT122" s="76"/>
      <c r="AU122" s="89"/>
      <c r="AV122" s="56"/>
      <c r="AW122" s="30"/>
      <c r="AX122" s="75"/>
      <c r="AY122" s="76"/>
      <c r="AZ122" s="89"/>
      <c r="BA122" s="56">
        <f>SUM(AG122,AL122,AQ122,AV122)</f>
        <v>146746.44899999999</v>
      </c>
      <c r="BB122" s="9"/>
    </row>
    <row r="123" spans="1:54" x14ac:dyDescent="0.35">
      <c r="A123" s="40"/>
      <c r="B123" s="84"/>
      <c r="C123" s="104"/>
      <c r="D123" s="75"/>
      <c r="E123" s="44"/>
      <c r="F123" s="88"/>
      <c r="G123" s="56"/>
      <c r="H123" s="104"/>
      <c r="I123" s="75"/>
      <c r="J123" s="44"/>
      <c r="K123" s="88"/>
      <c r="L123" s="56"/>
      <c r="M123" s="30"/>
      <c r="N123" s="75"/>
      <c r="O123" s="44"/>
      <c r="P123" s="88"/>
      <c r="Q123" s="56"/>
      <c r="R123" s="30"/>
      <c r="S123" s="75"/>
      <c r="T123" s="44"/>
      <c r="U123" s="88"/>
      <c r="V123" s="56"/>
      <c r="W123" s="30"/>
      <c r="X123" s="75"/>
      <c r="Y123" s="44"/>
      <c r="Z123" s="88"/>
      <c r="AA123" s="56"/>
      <c r="AB123" s="104"/>
      <c r="AC123" s="90"/>
      <c r="AD123" s="75"/>
      <c r="AE123" s="44"/>
      <c r="AF123" s="88"/>
      <c r="AG123" s="56"/>
      <c r="AH123" s="32"/>
      <c r="AI123" s="75"/>
      <c r="AJ123" s="44"/>
      <c r="AK123" s="88"/>
      <c r="AL123" s="56"/>
      <c r="AM123" s="32"/>
      <c r="AN123" s="75"/>
      <c r="AO123" s="44"/>
      <c r="AP123" s="88"/>
      <c r="AQ123" s="56"/>
      <c r="AR123" s="32"/>
      <c r="AS123" s="75"/>
      <c r="AT123" s="44"/>
      <c r="AU123" s="88"/>
      <c r="AV123" s="56"/>
      <c r="AW123" s="30"/>
      <c r="AX123" s="75"/>
      <c r="AY123" s="44"/>
      <c r="AZ123" s="88"/>
      <c r="BA123" s="56"/>
      <c r="BB123" s="9"/>
    </row>
    <row r="124" spans="1:54" x14ac:dyDescent="0.35">
      <c r="A124" s="40"/>
      <c r="B124" s="105" t="s">
        <v>149</v>
      </c>
      <c r="C124" s="107"/>
      <c r="D124" s="149"/>
      <c r="E124" s="150"/>
      <c r="F124" s="151"/>
      <c r="G124" s="151">
        <v>193464.01487295641</v>
      </c>
      <c r="H124" s="107"/>
      <c r="I124" s="111"/>
      <c r="J124" s="112"/>
      <c r="K124" s="152"/>
      <c r="L124" s="153">
        <v>67752.490949416431</v>
      </c>
      <c r="M124" s="154"/>
      <c r="N124" s="149"/>
      <c r="O124" s="150"/>
      <c r="P124" s="151"/>
      <c r="Q124" s="151">
        <v>53262.73270588553</v>
      </c>
      <c r="R124" s="155"/>
      <c r="S124" s="149"/>
      <c r="T124" s="150"/>
      <c r="U124" s="151"/>
      <c r="V124" s="151">
        <v>43469.274730592675</v>
      </c>
      <c r="W124" s="155"/>
      <c r="X124" s="149"/>
      <c r="Y124" s="150"/>
      <c r="Z124" s="151"/>
      <c r="AA124" s="151">
        <v>28979.516487061781</v>
      </c>
      <c r="AB124" s="107"/>
      <c r="AC124" s="115"/>
      <c r="AD124" s="111"/>
      <c r="AE124" s="112"/>
      <c r="AF124" s="152"/>
      <c r="AG124" s="153">
        <f>AG125</f>
        <v>0</v>
      </c>
      <c r="AH124" s="156"/>
      <c r="AI124" s="149"/>
      <c r="AJ124" s="150"/>
      <c r="AK124" s="151"/>
      <c r="AL124" s="151">
        <f>AL125</f>
        <v>0</v>
      </c>
      <c r="AM124" s="157"/>
      <c r="AN124" s="149"/>
      <c r="AO124" s="150"/>
      <c r="AP124" s="151"/>
      <c r="AQ124" s="151">
        <f>AQ125</f>
        <v>0</v>
      </c>
      <c r="AR124" s="157"/>
      <c r="AS124" s="149"/>
      <c r="AT124" s="150"/>
      <c r="AU124" s="151"/>
      <c r="AV124" s="151">
        <f>AV125</f>
        <v>0</v>
      </c>
      <c r="AW124" s="155"/>
      <c r="AX124" s="149"/>
      <c r="AY124" s="150"/>
      <c r="AZ124" s="151"/>
      <c r="BA124" s="151">
        <f>BA125</f>
        <v>0</v>
      </c>
      <c r="BB124" s="9"/>
    </row>
    <row r="125" spans="1:54" x14ac:dyDescent="0.35">
      <c r="A125" s="40"/>
      <c r="B125" s="117" t="s">
        <v>150</v>
      </c>
      <c r="C125" s="158" t="s">
        <v>124</v>
      </c>
      <c r="D125" s="159" t="s">
        <v>134</v>
      </c>
      <c r="E125" s="160">
        <v>4</v>
      </c>
      <c r="F125" s="161">
        <v>48366.003718239102</v>
      </c>
      <c r="G125" s="125">
        <v>193464.01487295641</v>
      </c>
      <c r="H125" s="158"/>
      <c r="I125" s="162" t="s">
        <v>134</v>
      </c>
      <c r="J125" s="163">
        <v>1</v>
      </c>
      <c r="K125" s="164">
        <v>67752.490949416431</v>
      </c>
      <c r="L125" s="165">
        <v>67752.490949416431</v>
      </c>
      <c r="M125" s="98"/>
      <c r="N125" s="159" t="s">
        <v>134</v>
      </c>
      <c r="O125" s="163">
        <v>1</v>
      </c>
      <c r="P125" s="164">
        <v>53262.73270588553</v>
      </c>
      <c r="Q125" s="165">
        <v>53262.73270588553</v>
      </c>
      <c r="R125" s="166"/>
      <c r="S125" s="159" t="s">
        <v>134</v>
      </c>
      <c r="T125" s="163">
        <v>1</v>
      </c>
      <c r="U125" s="164">
        <v>43469.274730592675</v>
      </c>
      <c r="V125" s="165">
        <v>43469.274730592675</v>
      </c>
      <c r="W125" s="166"/>
      <c r="X125" s="159" t="s">
        <v>134</v>
      </c>
      <c r="Y125" s="163">
        <v>1</v>
      </c>
      <c r="Z125" s="164">
        <v>28979.516487061781</v>
      </c>
      <c r="AA125" s="165">
        <v>28979.516487061781</v>
      </c>
      <c r="AB125" s="158"/>
      <c r="AC125" s="167">
        <f>[1]Calc!$F$47/[1]Calc!$F$95</f>
        <v>0.43248017104375852</v>
      </c>
      <c r="AD125" s="162"/>
      <c r="AE125" s="163"/>
      <c r="AF125" s="164"/>
      <c r="AG125" s="165">
        <f>AC125*0</f>
        <v>0</v>
      </c>
      <c r="AH125" s="100">
        <f>[1]Calc!$F$47/[1]Calc!$F$95</f>
        <v>0.43248017104375852</v>
      </c>
      <c r="AI125" s="159"/>
      <c r="AJ125" s="163"/>
      <c r="AK125" s="164"/>
      <c r="AL125" s="165"/>
      <c r="AM125" s="100">
        <f>[1]Calc!$F$47/[1]Calc!$F$95</f>
        <v>0.43248017104375852</v>
      </c>
      <c r="AN125" s="159"/>
      <c r="AO125" s="163"/>
      <c r="AP125" s="164"/>
      <c r="AQ125" s="165"/>
      <c r="AR125" s="100">
        <f>[1]Calc!$F$47/[1]Calc!$F$95</f>
        <v>0.43248017104375852</v>
      </c>
      <c r="AS125" s="159"/>
      <c r="AT125" s="163"/>
      <c r="AU125" s="164"/>
      <c r="AV125" s="165"/>
      <c r="AW125" s="166"/>
      <c r="AX125" s="159"/>
      <c r="AY125" s="160"/>
      <c r="AZ125" s="161"/>
      <c r="BA125" s="125">
        <f>AG125+AL125+AQ125+AV125</f>
        <v>0</v>
      </c>
      <c r="BB125" s="9"/>
    </row>
    <row r="126" spans="1:54" x14ac:dyDescent="0.35">
      <c r="A126" s="40"/>
      <c r="B126" s="84"/>
      <c r="C126" s="104"/>
      <c r="D126" s="75"/>
      <c r="E126" s="44"/>
      <c r="F126" s="88"/>
      <c r="G126" s="56"/>
      <c r="H126" s="104"/>
      <c r="I126" s="75"/>
      <c r="J126" s="44"/>
      <c r="K126" s="88"/>
      <c r="L126" s="56"/>
      <c r="M126" s="30"/>
      <c r="N126" s="75"/>
      <c r="O126" s="44"/>
      <c r="P126" s="88"/>
      <c r="Q126" s="56"/>
      <c r="R126" s="30"/>
      <c r="S126" s="75"/>
      <c r="T126" s="44"/>
      <c r="U126" s="88"/>
      <c r="V126" s="56"/>
      <c r="W126" s="30"/>
      <c r="X126" s="75"/>
      <c r="Y126" s="44"/>
      <c r="Z126" s="88"/>
      <c r="AA126" s="56"/>
      <c r="AB126" s="104"/>
      <c r="AC126" s="90"/>
      <c r="AD126" s="75"/>
      <c r="AE126" s="44"/>
      <c r="AF126" s="88"/>
      <c r="AG126" s="56"/>
      <c r="AH126" s="32"/>
      <c r="AI126" s="75"/>
      <c r="AJ126" s="44"/>
      <c r="AK126" s="88"/>
      <c r="AL126" s="56"/>
      <c r="AM126" s="32"/>
      <c r="AN126" s="75"/>
      <c r="AO126" s="44"/>
      <c r="AP126" s="88"/>
      <c r="AQ126" s="56"/>
      <c r="AR126" s="32"/>
      <c r="AS126" s="75"/>
      <c r="AT126" s="44"/>
      <c r="AU126" s="88"/>
      <c r="AV126" s="56"/>
      <c r="AW126" s="30"/>
      <c r="AX126" s="75"/>
      <c r="AY126" s="44"/>
      <c r="AZ126" s="88"/>
      <c r="BA126" s="56"/>
      <c r="BB126" s="9"/>
    </row>
    <row r="127" spans="1:54" ht="29" x14ac:dyDescent="0.35">
      <c r="A127" s="168" t="s">
        <v>151</v>
      </c>
      <c r="B127" s="64" t="s">
        <v>152</v>
      </c>
      <c r="C127" s="65"/>
      <c r="D127" s="66"/>
      <c r="E127" s="67"/>
      <c r="F127" s="68"/>
      <c r="G127" s="69"/>
      <c r="H127" s="65"/>
      <c r="I127" s="66"/>
      <c r="J127" s="67"/>
      <c r="K127" s="68"/>
      <c r="L127" s="69"/>
      <c r="M127" s="30"/>
      <c r="N127" s="66"/>
      <c r="O127" s="67"/>
      <c r="P127" s="68"/>
      <c r="Q127" s="69"/>
      <c r="R127" s="30"/>
      <c r="S127" s="66"/>
      <c r="T127" s="67"/>
      <c r="U127" s="68"/>
      <c r="V127" s="69"/>
      <c r="W127" s="30"/>
      <c r="X127" s="66"/>
      <c r="Y127" s="67"/>
      <c r="Z127" s="68"/>
      <c r="AA127" s="69"/>
      <c r="AB127" s="65"/>
      <c r="AC127" s="70"/>
      <c r="AD127" s="66"/>
      <c r="AE127" s="67"/>
      <c r="AF127" s="68"/>
      <c r="AG127" s="69"/>
      <c r="AH127" s="32"/>
      <c r="AI127" s="66"/>
      <c r="AJ127" s="67"/>
      <c r="AK127" s="68"/>
      <c r="AL127" s="69"/>
      <c r="AM127" s="32"/>
      <c r="AN127" s="66"/>
      <c r="AO127" s="67"/>
      <c r="AP127" s="68"/>
      <c r="AQ127" s="69"/>
      <c r="AR127" s="32"/>
      <c r="AS127" s="66"/>
      <c r="AT127" s="67"/>
      <c r="AU127" s="68"/>
      <c r="AV127" s="69"/>
      <c r="AW127" s="30"/>
      <c r="AX127" s="66"/>
      <c r="AY127" s="67"/>
      <c r="AZ127" s="68"/>
      <c r="BA127" s="69"/>
      <c r="BB127" s="9"/>
    </row>
    <row r="128" spans="1:54" x14ac:dyDescent="0.35">
      <c r="A128" s="169"/>
      <c r="B128" s="170"/>
      <c r="C128" s="171"/>
      <c r="D128" s="75"/>
      <c r="E128" s="76"/>
      <c r="F128" s="56"/>
      <c r="G128" s="56"/>
      <c r="H128" s="171"/>
      <c r="I128" s="75"/>
      <c r="J128" s="76"/>
      <c r="K128" s="56"/>
      <c r="L128" s="56"/>
      <c r="M128" s="30"/>
      <c r="N128" s="75"/>
      <c r="O128" s="76"/>
      <c r="P128" s="56"/>
      <c r="Q128" s="56"/>
      <c r="R128" s="30"/>
      <c r="S128" s="75"/>
      <c r="T128" s="76"/>
      <c r="U128" s="56"/>
      <c r="V128" s="56"/>
      <c r="W128" s="30"/>
      <c r="X128" s="75"/>
      <c r="Y128" s="76"/>
      <c r="Z128" s="56"/>
      <c r="AA128" s="56"/>
      <c r="AB128" s="171"/>
      <c r="AC128" s="172"/>
      <c r="AD128" s="75"/>
      <c r="AE128" s="76"/>
      <c r="AF128" s="56"/>
      <c r="AG128" s="56"/>
      <c r="AH128" s="32"/>
      <c r="AI128" s="75"/>
      <c r="AJ128" s="76"/>
      <c r="AK128" s="56"/>
      <c r="AL128" s="56"/>
      <c r="AM128" s="32"/>
      <c r="AN128" s="75"/>
      <c r="AO128" s="76"/>
      <c r="AP128" s="56"/>
      <c r="AQ128" s="56"/>
      <c r="AR128" s="32"/>
      <c r="AS128" s="75"/>
      <c r="AT128" s="76"/>
      <c r="AU128" s="56"/>
      <c r="AV128" s="56"/>
      <c r="AW128" s="30"/>
      <c r="AX128" s="75"/>
      <c r="AY128" s="76"/>
      <c r="AZ128" s="56"/>
      <c r="BA128" s="56"/>
      <c r="BB128" s="9"/>
    </row>
    <row r="129" spans="1:54" ht="29" x14ac:dyDescent="0.35">
      <c r="A129" s="57" t="s">
        <v>153</v>
      </c>
      <c r="B129" s="58" t="s">
        <v>154</v>
      </c>
      <c r="C129" s="59"/>
      <c r="D129" s="60"/>
      <c r="E129" s="61"/>
      <c r="F129" s="62"/>
      <c r="G129" s="62"/>
      <c r="H129" s="59"/>
      <c r="I129" s="60"/>
      <c r="J129" s="61"/>
      <c r="K129" s="62"/>
      <c r="L129" s="62"/>
      <c r="M129" s="30"/>
      <c r="N129" s="60"/>
      <c r="O129" s="61"/>
      <c r="P129" s="62"/>
      <c r="Q129" s="62"/>
      <c r="R129" s="30"/>
      <c r="S129" s="60"/>
      <c r="T129" s="61"/>
      <c r="U129" s="62"/>
      <c r="V129" s="62"/>
      <c r="W129" s="30"/>
      <c r="X129" s="60"/>
      <c r="Y129" s="61"/>
      <c r="Z129" s="62"/>
      <c r="AA129" s="62"/>
      <c r="AB129" s="59"/>
      <c r="AC129" s="63"/>
      <c r="AD129" s="60"/>
      <c r="AE129" s="61"/>
      <c r="AF129" s="62"/>
      <c r="AG129" s="62"/>
      <c r="AH129" s="32"/>
      <c r="AI129" s="60"/>
      <c r="AJ129" s="61"/>
      <c r="AK129" s="62"/>
      <c r="AL129" s="62"/>
      <c r="AM129" s="32"/>
      <c r="AN129" s="60"/>
      <c r="AO129" s="61"/>
      <c r="AP129" s="62"/>
      <c r="AQ129" s="62"/>
      <c r="AR129" s="32"/>
      <c r="AS129" s="60"/>
      <c r="AT129" s="61"/>
      <c r="AU129" s="62"/>
      <c r="AV129" s="62"/>
      <c r="AW129" s="30"/>
      <c r="AX129" s="60"/>
      <c r="AY129" s="61"/>
      <c r="AZ129" s="62"/>
      <c r="BA129" s="62"/>
      <c r="BB129" s="9"/>
    </row>
    <row r="130" spans="1:54" x14ac:dyDescent="0.35">
      <c r="A130" s="54"/>
      <c r="B130" s="55"/>
      <c r="C130" s="42"/>
      <c r="D130" s="43"/>
      <c r="E130" s="44"/>
      <c r="F130" s="89"/>
      <c r="G130" s="89"/>
      <c r="H130" s="42"/>
      <c r="I130" s="43"/>
      <c r="J130" s="44"/>
      <c r="K130" s="89"/>
      <c r="L130" s="89"/>
      <c r="M130" s="30"/>
      <c r="N130" s="43"/>
      <c r="O130" s="44"/>
      <c r="P130" s="89"/>
      <c r="Q130" s="89"/>
      <c r="R130" s="30"/>
      <c r="S130" s="43"/>
      <c r="T130" s="44"/>
      <c r="U130" s="89"/>
      <c r="V130" s="89"/>
      <c r="W130" s="30"/>
      <c r="X130" s="43"/>
      <c r="Y130" s="44"/>
      <c r="Z130" s="89"/>
      <c r="AA130" s="89"/>
      <c r="AB130" s="42"/>
      <c r="AC130" s="46"/>
      <c r="AD130" s="43"/>
      <c r="AE130" s="44"/>
      <c r="AF130" s="89"/>
      <c r="AG130" s="89"/>
      <c r="AH130" s="32"/>
      <c r="AI130" s="43"/>
      <c r="AJ130" s="44"/>
      <c r="AK130" s="89"/>
      <c r="AL130" s="89"/>
      <c r="AM130" s="32"/>
      <c r="AN130" s="43"/>
      <c r="AO130" s="44"/>
      <c r="AP130" s="89"/>
      <c r="AQ130" s="89"/>
      <c r="AR130" s="32"/>
      <c r="AS130" s="43"/>
      <c r="AT130" s="44"/>
      <c r="AU130" s="89"/>
      <c r="AV130" s="89"/>
      <c r="AW130" s="30"/>
      <c r="AX130" s="43"/>
      <c r="AY130" s="44"/>
      <c r="AZ130" s="89"/>
      <c r="BA130" s="89"/>
      <c r="BB130" s="9"/>
    </row>
    <row r="131" spans="1:54" x14ac:dyDescent="0.35">
      <c r="A131" s="54"/>
      <c r="B131" s="55" t="s">
        <v>155</v>
      </c>
      <c r="C131" s="74"/>
      <c r="D131" s="75"/>
      <c r="E131" s="44"/>
      <c r="F131" s="80"/>
      <c r="G131" s="45"/>
      <c r="H131" s="74"/>
      <c r="I131" s="75"/>
      <c r="J131" s="44"/>
      <c r="K131" s="80"/>
      <c r="L131" s="45"/>
      <c r="M131" s="30"/>
      <c r="N131" s="75"/>
      <c r="O131" s="44"/>
      <c r="P131" s="80"/>
      <c r="Q131" s="45"/>
      <c r="R131" s="30"/>
      <c r="S131" s="75"/>
      <c r="T131" s="44"/>
      <c r="U131" s="80"/>
      <c r="V131" s="45"/>
      <c r="W131" s="30"/>
      <c r="X131" s="75"/>
      <c r="Y131" s="44"/>
      <c r="Z131" s="80"/>
      <c r="AA131" s="45"/>
      <c r="AB131" s="74"/>
      <c r="AC131" s="46"/>
      <c r="AD131" s="75"/>
      <c r="AE131" s="44"/>
      <c r="AF131" s="80"/>
      <c r="AG131" s="45"/>
      <c r="AH131" s="32"/>
      <c r="AI131" s="75"/>
      <c r="AJ131" s="44"/>
      <c r="AK131" s="80"/>
      <c r="AL131" s="45"/>
      <c r="AM131" s="32"/>
      <c r="AN131" s="75"/>
      <c r="AO131" s="44"/>
      <c r="AP131" s="80"/>
      <c r="AQ131" s="45"/>
      <c r="AR131" s="32"/>
      <c r="AS131" s="75"/>
      <c r="AT131" s="44"/>
      <c r="AU131" s="80"/>
      <c r="AV131" s="45"/>
      <c r="AW131" s="30"/>
      <c r="AX131" s="75"/>
      <c r="AY131" s="44"/>
      <c r="AZ131" s="80"/>
      <c r="BA131" s="45"/>
      <c r="BB131" s="9"/>
    </row>
    <row r="132" spans="1:54" x14ac:dyDescent="0.35">
      <c r="A132" s="54"/>
      <c r="B132" s="86" t="s">
        <v>156</v>
      </c>
      <c r="C132" s="74" t="s">
        <v>27</v>
      </c>
      <c r="D132" s="75" t="s">
        <v>28</v>
      </c>
      <c r="E132" s="44">
        <v>8.5374698446874255</v>
      </c>
      <c r="F132" s="80">
        <v>2320.0000000000009</v>
      </c>
      <c r="G132" s="77">
        <v>19806.930039674833</v>
      </c>
      <c r="H132" s="74"/>
      <c r="I132" s="75" t="s">
        <v>28</v>
      </c>
      <c r="J132" s="44">
        <v>2.9677466981333915</v>
      </c>
      <c r="K132" s="80">
        <v>2320</v>
      </c>
      <c r="L132" s="77">
        <v>6885.1723396694688</v>
      </c>
      <c r="M132" s="30"/>
      <c r="N132" s="75" t="s">
        <v>28</v>
      </c>
      <c r="O132" s="44">
        <v>1.4180436242562258</v>
      </c>
      <c r="P132" s="80">
        <v>2320</v>
      </c>
      <c r="Q132" s="77">
        <v>3289.8612082744439</v>
      </c>
      <c r="R132" s="30"/>
      <c r="S132" s="75" t="s">
        <v>28</v>
      </c>
      <c r="T132" s="44">
        <v>2.8434575915207749</v>
      </c>
      <c r="U132" s="80">
        <v>2320</v>
      </c>
      <c r="V132" s="77">
        <v>6596.8216123281982</v>
      </c>
      <c r="W132" s="30"/>
      <c r="X132" s="75" t="s">
        <v>28</v>
      </c>
      <c r="Y132" s="44">
        <v>1.3082219307770344</v>
      </c>
      <c r="Z132" s="80">
        <v>2320</v>
      </c>
      <c r="AA132" s="77">
        <v>3035.0748794027199</v>
      </c>
      <c r="AB132" s="74"/>
      <c r="AC132" s="46">
        <f>[1]Calc!$B$31/[1]Calc!$B$47</f>
        <v>0.19996358716934984</v>
      </c>
      <c r="AD132" s="75"/>
      <c r="AE132" s="44"/>
      <c r="AF132" s="80"/>
      <c r="AG132" s="77">
        <f>AC132*24106.352</f>
        <v>4820.392619487031</v>
      </c>
      <c r="AH132" s="32" t="e">
        <f>[1]Calc!$C$31/[1]Calc!$C$47</f>
        <v>#DIV/0!</v>
      </c>
      <c r="AI132" s="75"/>
      <c r="AJ132" s="44"/>
      <c r="AK132" s="80"/>
      <c r="AL132" s="77"/>
      <c r="AM132" s="32" t="e">
        <f>[1]Calc!$D$31/[1]Calc!$D$47</f>
        <v>#DIV/0!</v>
      </c>
      <c r="AN132" s="75"/>
      <c r="AO132" s="44"/>
      <c r="AP132" s="80"/>
      <c r="AQ132" s="77"/>
      <c r="AR132" s="32" t="e">
        <f>[1]Calc!$E$31/[1]Calc!$E$47</f>
        <v>#DIV/0!</v>
      </c>
      <c r="AS132" s="75"/>
      <c r="AT132" s="44"/>
      <c r="AU132" s="80"/>
      <c r="AV132" s="77"/>
      <c r="AW132" s="30"/>
      <c r="AX132" s="75"/>
      <c r="AY132" s="44"/>
      <c r="AZ132" s="80"/>
      <c r="BA132" s="77">
        <f t="shared" ref="BA132:BA137" si="6">AG132+AL132+AQ132+AV132</f>
        <v>4820.392619487031</v>
      </c>
      <c r="BB132" s="9"/>
    </row>
    <row r="133" spans="1:54" x14ac:dyDescent="0.35">
      <c r="A133" s="54"/>
      <c r="B133" s="86" t="s">
        <v>157</v>
      </c>
      <c r="C133" s="74" t="s">
        <v>27</v>
      </c>
      <c r="D133" s="75" t="s">
        <v>28</v>
      </c>
      <c r="E133" s="44">
        <v>22.317607353234628</v>
      </c>
      <c r="F133" s="80">
        <v>1500</v>
      </c>
      <c r="G133" s="77">
        <v>33476.411029851944</v>
      </c>
      <c r="H133" s="74"/>
      <c r="I133" s="75" t="s">
        <v>28</v>
      </c>
      <c r="J133" s="44">
        <v>5.9354933962667831</v>
      </c>
      <c r="K133" s="80">
        <v>1500</v>
      </c>
      <c r="L133" s="77">
        <v>8903.2400944001747</v>
      </c>
      <c r="M133" s="30"/>
      <c r="N133" s="75" t="s">
        <v>28</v>
      </c>
      <c r="O133" s="44">
        <v>4.2541308727686769</v>
      </c>
      <c r="P133" s="80">
        <v>1500</v>
      </c>
      <c r="Q133" s="77">
        <v>6381.1963091530151</v>
      </c>
      <c r="R133" s="30"/>
      <c r="S133" s="75" t="s">
        <v>28</v>
      </c>
      <c r="T133" s="44">
        <v>8.5303727745623235</v>
      </c>
      <c r="U133" s="80">
        <v>1500</v>
      </c>
      <c r="V133" s="77">
        <v>12795.559161843485</v>
      </c>
      <c r="W133" s="30"/>
      <c r="X133" s="75" t="s">
        <v>28</v>
      </c>
      <c r="Y133" s="44">
        <v>3.5976103096368446</v>
      </c>
      <c r="Z133" s="80">
        <v>1500</v>
      </c>
      <c r="AA133" s="77">
        <v>5396.4154644552673</v>
      </c>
      <c r="AB133" s="74"/>
      <c r="AC133" s="46">
        <f>[1]Calc!$B$31/[1]Calc!$B$47</f>
        <v>0.19996358716934984</v>
      </c>
      <c r="AD133" s="75"/>
      <c r="AE133" s="44"/>
      <c r="AF133" s="80"/>
      <c r="AG133" s="77">
        <f>AC133*21019.326</f>
        <v>4203.0998268419817</v>
      </c>
      <c r="AH133" s="32" t="e">
        <f>[1]Calc!$C$31/[1]Calc!$C$47</f>
        <v>#DIV/0!</v>
      </c>
      <c r="AI133" s="75"/>
      <c r="AJ133" s="44"/>
      <c r="AK133" s="80"/>
      <c r="AL133" s="77"/>
      <c r="AM133" s="32" t="e">
        <f>[1]Calc!$D$31/[1]Calc!$D$47</f>
        <v>#DIV/0!</v>
      </c>
      <c r="AN133" s="75"/>
      <c r="AO133" s="44"/>
      <c r="AP133" s="80"/>
      <c r="AQ133" s="77"/>
      <c r="AR133" s="32" t="e">
        <f>[1]Calc!$E$31/[1]Calc!$E$47</f>
        <v>#DIV/0!</v>
      </c>
      <c r="AS133" s="75"/>
      <c r="AT133" s="44"/>
      <c r="AU133" s="80"/>
      <c r="AV133" s="77"/>
      <c r="AW133" s="30"/>
      <c r="AX133" s="75"/>
      <c r="AY133" s="44"/>
      <c r="AZ133" s="80"/>
      <c r="BA133" s="77">
        <f t="shared" si="6"/>
        <v>4203.0998268419817</v>
      </c>
      <c r="BB133" s="9"/>
    </row>
    <row r="134" spans="1:54" x14ac:dyDescent="0.35">
      <c r="A134" s="54"/>
      <c r="B134" s="86" t="s">
        <v>158</v>
      </c>
      <c r="C134" s="74" t="s">
        <v>27</v>
      </c>
      <c r="D134" s="75" t="s">
        <v>28</v>
      </c>
      <c r="E134" s="44">
        <v>7.877970578435562</v>
      </c>
      <c r="F134" s="80">
        <v>1920</v>
      </c>
      <c r="G134" s="77">
        <v>15125.703510596279</v>
      </c>
      <c r="H134" s="74"/>
      <c r="I134" s="75" t="s">
        <v>28</v>
      </c>
      <c r="J134" s="44">
        <v>2.3082474318815267</v>
      </c>
      <c r="K134" s="80">
        <v>1920</v>
      </c>
      <c r="L134" s="77">
        <v>4431.8350692125314</v>
      </c>
      <c r="M134" s="30"/>
      <c r="N134" s="75" t="s">
        <v>28</v>
      </c>
      <c r="O134" s="44">
        <v>1.4180436242562258</v>
      </c>
      <c r="P134" s="80">
        <v>1920</v>
      </c>
      <c r="Q134" s="77">
        <v>2722.6437585719536</v>
      </c>
      <c r="R134" s="30"/>
      <c r="S134" s="75" t="s">
        <v>28</v>
      </c>
      <c r="T134" s="44">
        <v>2.8434575915207749</v>
      </c>
      <c r="U134" s="80">
        <v>1920</v>
      </c>
      <c r="V134" s="77">
        <v>5459.4385757198879</v>
      </c>
      <c r="W134" s="30"/>
      <c r="X134" s="75" t="s">
        <v>28</v>
      </c>
      <c r="Y134" s="44">
        <v>1.3082219307770344</v>
      </c>
      <c r="Z134" s="80">
        <v>1920</v>
      </c>
      <c r="AA134" s="77">
        <v>2511.7861070919062</v>
      </c>
      <c r="AB134" s="74"/>
      <c r="AC134" s="46">
        <f>[1]Calc!$B$31/[1]Calc!$B$47</f>
        <v>0.19996358716934984</v>
      </c>
      <c r="AD134" s="75"/>
      <c r="AE134" s="44"/>
      <c r="AF134" s="80"/>
      <c r="AG134" s="77">
        <f>AC134*3058.706</f>
        <v>611.6298238564134</v>
      </c>
      <c r="AH134" s="32" t="e">
        <f>[1]Calc!$C$31/[1]Calc!$C$47</f>
        <v>#DIV/0!</v>
      </c>
      <c r="AI134" s="75"/>
      <c r="AJ134" s="44"/>
      <c r="AK134" s="80"/>
      <c r="AL134" s="77"/>
      <c r="AM134" s="32" t="e">
        <f>[1]Calc!$D$31/[1]Calc!$D$47</f>
        <v>#DIV/0!</v>
      </c>
      <c r="AN134" s="75"/>
      <c r="AO134" s="44"/>
      <c r="AP134" s="80"/>
      <c r="AQ134" s="77"/>
      <c r="AR134" s="32" t="e">
        <f>[1]Calc!$E$31/[1]Calc!$E$47</f>
        <v>#DIV/0!</v>
      </c>
      <c r="AS134" s="75"/>
      <c r="AT134" s="44"/>
      <c r="AU134" s="80"/>
      <c r="AV134" s="77"/>
      <c r="AW134" s="30"/>
      <c r="AX134" s="75"/>
      <c r="AY134" s="44"/>
      <c r="AZ134" s="80"/>
      <c r="BA134" s="77">
        <f t="shared" si="6"/>
        <v>611.6298238564134</v>
      </c>
      <c r="BB134" s="9"/>
    </row>
    <row r="135" spans="1:54" x14ac:dyDescent="0.35">
      <c r="A135" s="54"/>
      <c r="B135" s="86" t="s">
        <v>159</v>
      </c>
      <c r="C135" s="74" t="s">
        <v>35</v>
      </c>
      <c r="D135" s="75" t="s">
        <v>28</v>
      </c>
      <c r="E135" s="44">
        <v>23.306856252612427</v>
      </c>
      <c r="F135" s="80">
        <v>609.79606894964138</v>
      </c>
      <c r="G135" s="77">
        <v>14212.429322417429</v>
      </c>
      <c r="H135" s="74"/>
      <c r="I135" s="75" t="s">
        <v>28</v>
      </c>
      <c r="J135" s="44">
        <v>6.9247422956445801</v>
      </c>
      <c r="K135" s="80">
        <v>609.79606894964149</v>
      </c>
      <c r="L135" s="77">
        <v>4222.6806303733811</v>
      </c>
      <c r="M135" s="30"/>
      <c r="N135" s="75" t="s">
        <v>28</v>
      </c>
      <c r="O135" s="44">
        <v>4.2541308727686769</v>
      </c>
      <c r="P135" s="80">
        <v>609.79606894964149</v>
      </c>
      <c r="Q135" s="77">
        <v>2594.1522830116464</v>
      </c>
      <c r="R135" s="30"/>
      <c r="S135" s="75" t="s">
        <v>28</v>
      </c>
      <c r="T135" s="44">
        <v>8.5303727745623235</v>
      </c>
      <c r="U135" s="80">
        <v>609.79606894964149</v>
      </c>
      <c r="V135" s="77">
        <v>5201.7877846031515</v>
      </c>
      <c r="W135" s="30"/>
      <c r="X135" s="75" t="s">
        <v>28</v>
      </c>
      <c r="Y135" s="44">
        <v>3.5976103096368446</v>
      </c>
      <c r="Z135" s="80">
        <v>609.79606894964149</v>
      </c>
      <c r="AA135" s="77">
        <v>2193.8086244292504</v>
      </c>
      <c r="AB135" s="74"/>
      <c r="AC135" s="46">
        <f>[1]Calc!$B$31/[1]Calc!$B$47</f>
        <v>0.19996358716934984</v>
      </c>
      <c r="AD135" s="75"/>
      <c r="AE135" s="44"/>
      <c r="AF135" s="80"/>
      <c r="AG135" s="77">
        <f>AC135*14588.161</f>
        <v>2917.1010037640099</v>
      </c>
      <c r="AH135" s="32" t="e">
        <f>[1]Calc!$C$31/[1]Calc!$C$47</f>
        <v>#DIV/0!</v>
      </c>
      <c r="AI135" s="75"/>
      <c r="AJ135" s="44"/>
      <c r="AK135" s="80"/>
      <c r="AL135" s="77"/>
      <c r="AM135" s="32" t="e">
        <f>[1]Calc!$D$31/[1]Calc!$D$47</f>
        <v>#DIV/0!</v>
      </c>
      <c r="AN135" s="75"/>
      <c r="AO135" s="44"/>
      <c r="AP135" s="80"/>
      <c r="AQ135" s="77"/>
      <c r="AR135" s="32" t="e">
        <f>[1]Calc!$E$31/[1]Calc!$E$47</f>
        <v>#DIV/0!</v>
      </c>
      <c r="AS135" s="75"/>
      <c r="AT135" s="44"/>
      <c r="AU135" s="80"/>
      <c r="AV135" s="77"/>
      <c r="AW135" s="30"/>
      <c r="AX135" s="75"/>
      <c r="AY135" s="44"/>
      <c r="AZ135" s="80"/>
      <c r="BA135" s="77">
        <f t="shared" si="6"/>
        <v>2917.1010037640099</v>
      </c>
      <c r="BB135" s="9"/>
    </row>
    <row r="136" spans="1:54" x14ac:dyDescent="0.35">
      <c r="A136" s="54"/>
      <c r="B136" s="86" t="s">
        <v>160</v>
      </c>
      <c r="C136" s="74" t="s">
        <v>35</v>
      </c>
      <c r="D136" s="75" t="s">
        <v>28</v>
      </c>
      <c r="E136" s="44">
        <v>59.513619608625675</v>
      </c>
      <c r="F136" s="80">
        <v>533.57156033093634</v>
      </c>
      <c r="G136" s="77">
        <v>31754.77487551621</v>
      </c>
      <c r="H136" s="74"/>
      <c r="I136" s="75" t="s">
        <v>28</v>
      </c>
      <c r="J136" s="82">
        <v>15.827982390044754</v>
      </c>
      <c r="K136" s="83">
        <v>533.57156033093634</v>
      </c>
      <c r="L136" s="77">
        <v>8445.3612607467621</v>
      </c>
      <c r="M136" s="30"/>
      <c r="N136" s="75" t="s">
        <v>28</v>
      </c>
      <c r="O136" s="82">
        <v>11.344348994049806</v>
      </c>
      <c r="P136" s="83">
        <v>533.57156033093634</v>
      </c>
      <c r="Q136" s="77">
        <v>6053.0219936938429</v>
      </c>
      <c r="R136" s="30"/>
      <c r="S136" s="75" t="s">
        <v>28</v>
      </c>
      <c r="T136" s="82">
        <v>22.747660732166199</v>
      </c>
      <c r="U136" s="83">
        <v>533.57156033093634</v>
      </c>
      <c r="V136" s="77">
        <v>12137.504830740689</v>
      </c>
      <c r="W136" s="30"/>
      <c r="X136" s="75" t="s">
        <v>28</v>
      </c>
      <c r="Y136" s="82">
        <v>9.5936274923649183</v>
      </c>
      <c r="Z136" s="83">
        <v>533.57156033093634</v>
      </c>
      <c r="AA136" s="77">
        <v>5118.8867903349174</v>
      </c>
      <c r="AB136" s="74"/>
      <c r="AC136" s="46">
        <f>[1]Calc!$B$31/[1]Calc!$B$47</f>
        <v>0.19996358716934984</v>
      </c>
      <c r="AD136" s="75"/>
      <c r="AE136" s="82"/>
      <c r="AF136" s="83"/>
      <c r="AG136" s="77">
        <f>AC136*26052.739</f>
        <v>5209.5991460268206</v>
      </c>
      <c r="AH136" s="32" t="e">
        <f>[1]Calc!$C$31/[1]Calc!$C$47</f>
        <v>#DIV/0!</v>
      </c>
      <c r="AI136" s="75"/>
      <c r="AJ136" s="82"/>
      <c r="AK136" s="83"/>
      <c r="AL136" s="77"/>
      <c r="AM136" s="32" t="e">
        <f>[1]Calc!$D$31/[1]Calc!$D$47</f>
        <v>#DIV/0!</v>
      </c>
      <c r="AN136" s="75"/>
      <c r="AO136" s="82"/>
      <c r="AP136" s="83"/>
      <c r="AQ136" s="77"/>
      <c r="AR136" s="32" t="e">
        <f>[1]Calc!$E$31/[1]Calc!$E$47</f>
        <v>#DIV/0!</v>
      </c>
      <c r="AS136" s="75"/>
      <c r="AT136" s="82"/>
      <c r="AU136" s="83"/>
      <c r="AV136" s="77"/>
      <c r="AW136" s="30"/>
      <c r="AX136" s="75"/>
      <c r="AY136" s="44"/>
      <c r="AZ136" s="80"/>
      <c r="BA136" s="77">
        <f t="shared" si="6"/>
        <v>5209.5991460268206</v>
      </c>
      <c r="BB136" s="9"/>
    </row>
    <row r="137" spans="1:54" x14ac:dyDescent="0.35">
      <c r="A137" s="54"/>
      <c r="B137" s="85" t="s">
        <v>161</v>
      </c>
      <c r="C137" s="74" t="s">
        <v>27</v>
      </c>
      <c r="D137" s="75" t="s">
        <v>28</v>
      </c>
      <c r="E137" s="44">
        <v>5.5572526007047136</v>
      </c>
      <c r="F137" s="80">
        <v>220.00000000000003</v>
      </c>
      <c r="G137" s="77">
        <v>1222.5955721550372</v>
      </c>
      <c r="H137" s="74"/>
      <c r="I137" s="75" t="s">
        <v>28</v>
      </c>
      <c r="J137" s="82">
        <v>2.3082474318815267</v>
      </c>
      <c r="K137" s="173">
        <v>220</v>
      </c>
      <c r="L137" s="77">
        <v>507.81443501393585</v>
      </c>
      <c r="M137" s="30"/>
      <c r="N137" s="75" t="s">
        <v>28</v>
      </c>
      <c r="O137" s="82">
        <v>0.82719211414946503</v>
      </c>
      <c r="P137" s="83">
        <v>220</v>
      </c>
      <c r="Q137" s="77">
        <v>181.98226511288232</v>
      </c>
      <c r="R137" s="30"/>
      <c r="S137" s="75" t="s">
        <v>28</v>
      </c>
      <c r="T137" s="82">
        <v>1.6586835950537853</v>
      </c>
      <c r="U137" s="83">
        <v>220</v>
      </c>
      <c r="V137" s="77">
        <v>364.91039091183274</v>
      </c>
      <c r="W137" s="30"/>
      <c r="X137" s="75" t="s">
        <v>28</v>
      </c>
      <c r="Y137" s="82">
        <v>0.76312945961993672</v>
      </c>
      <c r="Z137" s="83">
        <v>220</v>
      </c>
      <c r="AA137" s="77">
        <v>167.88848111638609</v>
      </c>
      <c r="AB137" s="74"/>
      <c r="AC137" s="46">
        <f>[1]Calc!$B$31/[1]Calc!$B$47</f>
        <v>0.19996358716934984</v>
      </c>
      <c r="AD137" s="75"/>
      <c r="AE137" s="82"/>
      <c r="AF137" s="173"/>
      <c r="AG137" s="77">
        <f>AC137*0</f>
        <v>0</v>
      </c>
      <c r="AH137" s="32" t="e">
        <f>[1]Calc!$C$31/[1]Calc!$C$47</f>
        <v>#DIV/0!</v>
      </c>
      <c r="AI137" s="75"/>
      <c r="AJ137" s="82"/>
      <c r="AK137" s="83"/>
      <c r="AL137" s="77"/>
      <c r="AM137" s="32" t="e">
        <f>[1]Calc!$D$31/[1]Calc!$D$47</f>
        <v>#DIV/0!</v>
      </c>
      <c r="AN137" s="75"/>
      <c r="AO137" s="82"/>
      <c r="AP137" s="83"/>
      <c r="AQ137" s="77"/>
      <c r="AR137" s="32" t="e">
        <f>[1]Calc!$E$31/[1]Calc!$E$47</f>
        <v>#DIV/0!</v>
      </c>
      <c r="AS137" s="75"/>
      <c r="AT137" s="82"/>
      <c r="AU137" s="83"/>
      <c r="AV137" s="77"/>
      <c r="AW137" s="30"/>
      <c r="AX137" s="75"/>
      <c r="AY137" s="44"/>
      <c r="AZ137" s="80"/>
      <c r="BA137" s="77">
        <f t="shared" si="6"/>
        <v>0</v>
      </c>
      <c r="BB137" s="9"/>
    </row>
    <row r="138" spans="1:54" x14ac:dyDescent="0.35">
      <c r="A138" s="54"/>
      <c r="B138" s="55"/>
      <c r="C138" s="42"/>
      <c r="D138" s="43"/>
      <c r="E138" s="44"/>
      <c r="F138" s="89"/>
      <c r="G138" s="77"/>
      <c r="H138" s="42"/>
      <c r="I138" s="43"/>
      <c r="J138" s="44"/>
      <c r="K138" s="89"/>
      <c r="L138" s="77"/>
      <c r="M138" s="30"/>
      <c r="N138" s="43"/>
      <c r="O138" s="44"/>
      <c r="P138" s="89"/>
      <c r="Q138" s="77"/>
      <c r="R138" s="30"/>
      <c r="S138" s="43"/>
      <c r="T138" s="44"/>
      <c r="U138" s="89"/>
      <c r="V138" s="77"/>
      <c r="W138" s="30"/>
      <c r="X138" s="43"/>
      <c r="Y138" s="44"/>
      <c r="Z138" s="89"/>
      <c r="AA138" s="77"/>
      <c r="AB138" s="42"/>
      <c r="AC138" s="46"/>
      <c r="AD138" s="43"/>
      <c r="AE138" s="44"/>
      <c r="AF138" s="89"/>
      <c r="AG138" s="77"/>
      <c r="AH138" s="32" t="e">
        <f>[1]Calc!$C$31/[1]Calc!$C$47</f>
        <v>#DIV/0!</v>
      </c>
      <c r="AI138" s="43"/>
      <c r="AJ138" s="44"/>
      <c r="AK138" s="89"/>
      <c r="AL138" s="77"/>
      <c r="AM138" s="32" t="e">
        <f>[1]Calc!$D$31/[1]Calc!$D$47</f>
        <v>#DIV/0!</v>
      </c>
      <c r="AN138" s="43"/>
      <c r="AO138" s="44"/>
      <c r="AP138" s="89"/>
      <c r="AQ138" s="77"/>
      <c r="AR138" s="32" t="e">
        <f>[1]Calc!$E$31/[1]Calc!$E$47</f>
        <v>#DIV/0!</v>
      </c>
      <c r="AS138" s="43"/>
      <c r="AT138" s="44"/>
      <c r="AU138" s="89"/>
      <c r="AV138" s="77"/>
      <c r="AW138" s="30"/>
      <c r="AX138" s="43"/>
      <c r="AY138" s="44"/>
      <c r="AZ138" s="89"/>
      <c r="BA138" s="77"/>
      <c r="BB138" s="9"/>
    </row>
    <row r="139" spans="1:54" x14ac:dyDescent="0.35">
      <c r="A139" s="54"/>
      <c r="B139" s="174" t="s">
        <v>162</v>
      </c>
      <c r="C139" s="175"/>
      <c r="D139" s="43"/>
      <c r="E139" s="44"/>
      <c r="F139" s="45"/>
      <c r="G139" s="77"/>
      <c r="H139" s="175"/>
      <c r="I139" s="43"/>
      <c r="J139" s="44"/>
      <c r="K139" s="45"/>
      <c r="L139" s="77"/>
      <c r="M139" s="30"/>
      <c r="N139" s="43"/>
      <c r="O139" s="44"/>
      <c r="P139" s="45"/>
      <c r="Q139" s="77"/>
      <c r="R139" s="30"/>
      <c r="S139" s="43"/>
      <c r="T139" s="44"/>
      <c r="U139" s="45"/>
      <c r="V139" s="77"/>
      <c r="W139" s="30"/>
      <c r="X139" s="43"/>
      <c r="Y139" s="44"/>
      <c r="Z139" s="45"/>
      <c r="AA139" s="77"/>
      <c r="AB139" s="175"/>
      <c r="AC139" s="46"/>
      <c r="AD139" s="43"/>
      <c r="AE139" s="44"/>
      <c r="AF139" s="45"/>
      <c r="AG139" s="77"/>
      <c r="AH139" s="32" t="e">
        <f>[1]Calc!$C$31/[1]Calc!$C$47</f>
        <v>#DIV/0!</v>
      </c>
      <c r="AI139" s="43"/>
      <c r="AJ139" s="44"/>
      <c r="AK139" s="45"/>
      <c r="AL139" s="77"/>
      <c r="AM139" s="32" t="e">
        <f>[1]Calc!$D$31/[1]Calc!$D$47</f>
        <v>#DIV/0!</v>
      </c>
      <c r="AN139" s="43"/>
      <c r="AO139" s="44"/>
      <c r="AP139" s="45"/>
      <c r="AQ139" s="77"/>
      <c r="AR139" s="32" t="e">
        <f>[1]Calc!$E$31/[1]Calc!$E$47</f>
        <v>#DIV/0!</v>
      </c>
      <c r="AS139" s="43"/>
      <c r="AT139" s="44"/>
      <c r="AU139" s="45"/>
      <c r="AV139" s="77"/>
      <c r="AW139" s="30"/>
      <c r="AX139" s="43"/>
      <c r="AY139" s="44"/>
      <c r="AZ139" s="45"/>
      <c r="BA139" s="77"/>
      <c r="BB139" s="9"/>
    </row>
    <row r="140" spans="1:54" x14ac:dyDescent="0.35">
      <c r="A140" s="54"/>
      <c r="B140" s="86" t="s">
        <v>163</v>
      </c>
      <c r="C140" s="74"/>
      <c r="D140" s="75"/>
      <c r="E140" s="76"/>
      <c r="F140" s="77"/>
      <c r="G140" s="77"/>
      <c r="H140" s="74"/>
      <c r="I140" s="75"/>
      <c r="J140" s="76"/>
      <c r="K140" s="77"/>
      <c r="L140" s="77"/>
      <c r="M140" s="30"/>
      <c r="N140" s="75"/>
      <c r="O140" s="76"/>
      <c r="P140" s="77"/>
      <c r="Q140" s="77"/>
      <c r="R140" s="30"/>
      <c r="S140" s="75"/>
      <c r="T140" s="76"/>
      <c r="U140" s="77"/>
      <c r="V140" s="77"/>
      <c r="W140" s="30"/>
      <c r="X140" s="75"/>
      <c r="Y140" s="76"/>
      <c r="Z140" s="77"/>
      <c r="AA140" s="77"/>
      <c r="AB140" s="74"/>
      <c r="AC140" s="46"/>
      <c r="AD140" s="75"/>
      <c r="AE140" s="76"/>
      <c r="AF140" s="77"/>
      <c r="AG140" s="77"/>
      <c r="AH140" s="32" t="e">
        <f>[1]Calc!$C$31/[1]Calc!$C$47</f>
        <v>#DIV/0!</v>
      </c>
      <c r="AI140" s="75"/>
      <c r="AJ140" s="76"/>
      <c r="AK140" s="77"/>
      <c r="AL140" s="77"/>
      <c r="AM140" s="32" t="e">
        <f>[1]Calc!$D$31/[1]Calc!$D$47</f>
        <v>#DIV/0!</v>
      </c>
      <c r="AN140" s="75"/>
      <c r="AO140" s="76"/>
      <c r="AP140" s="77"/>
      <c r="AQ140" s="77"/>
      <c r="AR140" s="32" t="e">
        <f>[1]Calc!$E$31/[1]Calc!$E$47</f>
        <v>#DIV/0!</v>
      </c>
      <c r="AS140" s="75"/>
      <c r="AT140" s="76"/>
      <c r="AU140" s="77"/>
      <c r="AV140" s="77"/>
      <c r="AW140" s="30"/>
      <c r="AX140" s="75"/>
      <c r="AY140" s="76"/>
      <c r="AZ140" s="77"/>
      <c r="BA140" s="77"/>
      <c r="BB140" s="9"/>
    </row>
    <row r="141" spans="1:54" x14ac:dyDescent="0.35">
      <c r="A141" s="54"/>
      <c r="B141" s="79" t="s">
        <v>164</v>
      </c>
      <c r="C141" s="74" t="s">
        <v>27</v>
      </c>
      <c r="D141" s="75" t="s">
        <v>165</v>
      </c>
      <c r="E141" s="44">
        <v>2.3816796860163056</v>
      </c>
      <c r="F141" s="80">
        <v>396</v>
      </c>
      <c r="G141" s="77">
        <v>943.145155662457</v>
      </c>
      <c r="H141" s="74"/>
      <c r="I141" s="75" t="s">
        <v>165</v>
      </c>
      <c r="J141" s="76">
        <v>0.98924889937779714</v>
      </c>
      <c r="K141" s="77">
        <v>396</v>
      </c>
      <c r="L141" s="77">
        <v>391.74256415360765</v>
      </c>
      <c r="M141" s="30"/>
      <c r="N141" s="75" t="s">
        <v>165</v>
      </c>
      <c r="O141" s="76">
        <v>0.35451090606405644</v>
      </c>
      <c r="P141" s="77">
        <v>396</v>
      </c>
      <c r="Q141" s="77">
        <v>140.38631880136634</v>
      </c>
      <c r="R141" s="30"/>
      <c r="S141" s="75" t="s">
        <v>165</v>
      </c>
      <c r="T141" s="76">
        <v>0.71086439788019373</v>
      </c>
      <c r="U141" s="77">
        <v>396</v>
      </c>
      <c r="V141" s="77">
        <v>281.5023015605567</v>
      </c>
      <c r="W141" s="30"/>
      <c r="X141" s="75" t="s">
        <v>165</v>
      </c>
      <c r="Y141" s="76">
        <v>0.3270554826942586</v>
      </c>
      <c r="Z141" s="77">
        <v>396</v>
      </c>
      <c r="AA141" s="77">
        <v>129.51397114692639</v>
      </c>
      <c r="AB141" s="74"/>
      <c r="AC141" s="46">
        <f>[1]Calc!$B$31/[1]Calc!$B$47</f>
        <v>0.19996358716934984</v>
      </c>
      <c r="AD141" s="75"/>
      <c r="AE141" s="76"/>
      <c r="AF141" s="77"/>
      <c r="AG141" s="77">
        <f>AC141*1862.561</f>
        <v>372.44437888173138</v>
      </c>
      <c r="AH141" s="32" t="e">
        <f>[1]Calc!$C$31/[1]Calc!$C$47</f>
        <v>#DIV/0!</v>
      </c>
      <c r="AI141" s="75"/>
      <c r="AJ141" s="76"/>
      <c r="AK141" s="77"/>
      <c r="AL141" s="77"/>
      <c r="AM141" s="32" t="e">
        <f>[1]Calc!$D$31/[1]Calc!$D$47</f>
        <v>#DIV/0!</v>
      </c>
      <c r="AN141" s="75"/>
      <c r="AO141" s="76"/>
      <c r="AP141" s="77"/>
      <c r="AQ141" s="77"/>
      <c r="AR141" s="32" t="e">
        <f>[1]Calc!$E$31/[1]Calc!$E$47</f>
        <v>#DIV/0!</v>
      </c>
      <c r="AS141" s="75"/>
      <c r="AT141" s="76"/>
      <c r="AU141" s="77"/>
      <c r="AV141" s="77"/>
      <c r="AW141" s="30"/>
      <c r="AX141" s="75"/>
      <c r="AY141" s="44"/>
      <c r="AZ141" s="80"/>
      <c r="BA141" s="77">
        <f>AG141+AL141+AQ141+AV141</f>
        <v>372.44437888173138</v>
      </c>
      <c r="BB141" s="9"/>
    </row>
    <row r="142" spans="1:54" x14ac:dyDescent="0.35">
      <c r="A142" s="54"/>
      <c r="B142" s="79" t="s">
        <v>166</v>
      </c>
      <c r="C142" s="74" t="s">
        <v>27</v>
      </c>
      <c r="D142" s="75" t="s">
        <v>165</v>
      </c>
      <c r="E142" s="44">
        <v>0.79389322867210188</v>
      </c>
      <c r="F142" s="80">
        <v>610</v>
      </c>
      <c r="G142" s="77">
        <v>484.27486948998211</v>
      </c>
      <c r="H142" s="74"/>
      <c r="I142" s="75" t="s">
        <v>165</v>
      </c>
      <c r="J142" s="76">
        <v>0.32974963312593236</v>
      </c>
      <c r="K142" s="77">
        <v>610</v>
      </c>
      <c r="L142" s="77">
        <v>201.14727620681873</v>
      </c>
      <c r="M142" s="30"/>
      <c r="N142" s="75" t="s">
        <v>165</v>
      </c>
      <c r="O142" s="76">
        <v>0.11817030202135215</v>
      </c>
      <c r="P142" s="77">
        <v>610</v>
      </c>
      <c r="Q142" s="77">
        <v>72.083884233024804</v>
      </c>
      <c r="R142" s="30"/>
      <c r="S142" s="75" t="s">
        <v>165</v>
      </c>
      <c r="T142" s="76">
        <v>0.23695479929339788</v>
      </c>
      <c r="U142" s="77">
        <v>610</v>
      </c>
      <c r="V142" s="77">
        <v>144.5424275689727</v>
      </c>
      <c r="W142" s="30"/>
      <c r="X142" s="75" t="s">
        <v>165</v>
      </c>
      <c r="Y142" s="76">
        <v>0.10901849423141953</v>
      </c>
      <c r="Z142" s="77">
        <v>610</v>
      </c>
      <c r="AA142" s="77">
        <v>66.501281481165918</v>
      </c>
      <c r="AB142" s="74"/>
      <c r="AC142" s="46">
        <f>[1]Calc!$B$31/[1]Calc!$B$47</f>
        <v>0.19996358716934984</v>
      </c>
      <c r="AD142" s="75"/>
      <c r="AE142" s="76"/>
      <c r="AF142" s="77"/>
      <c r="AG142" s="77">
        <f>AC142*0</f>
        <v>0</v>
      </c>
      <c r="AH142" s="32" t="e">
        <f>[1]Calc!$C$31/[1]Calc!$C$47</f>
        <v>#DIV/0!</v>
      </c>
      <c r="AI142" s="75"/>
      <c r="AJ142" s="76"/>
      <c r="AK142" s="77"/>
      <c r="AL142" s="77"/>
      <c r="AM142" s="32" t="e">
        <f>[1]Calc!$D$31/[1]Calc!$D$47</f>
        <v>#DIV/0!</v>
      </c>
      <c r="AN142" s="75"/>
      <c r="AO142" s="76"/>
      <c r="AP142" s="77"/>
      <c r="AQ142" s="77"/>
      <c r="AR142" s="32" t="e">
        <f>[1]Calc!$E$31/[1]Calc!$E$47</f>
        <v>#DIV/0!</v>
      </c>
      <c r="AS142" s="75"/>
      <c r="AT142" s="76"/>
      <c r="AU142" s="77"/>
      <c r="AV142" s="77"/>
      <c r="AW142" s="30"/>
      <c r="AX142" s="75"/>
      <c r="AY142" s="44"/>
      <c r="AZ142" s="80"/>
      <c r="BA142" s="77">
        <f>AG142+AL142+AQ142+AV142</f>
        <v>0</v>
      </c>
      <c r="BB142" s="9"/>
    </row>
    <row r="143" spans="1:54" x14ac:dyDescent="0.35">
      <c r="A143" s="54"/>
      <c r="B143" s="86"/>
      <c r="C143" s="74"/>
      <c r="D143" s="75"/>
      <c r="E143" s="76"/>
      <c r="F143" s="77"/>
      <c r="G143" s="77"/>
      <c r="H143" s="74"/>
      <c r="I143" s="75"/>
      <c r="J143" s="76"/>
      <c r="K143" s="77"/>
      <c r="L143" s="77"/>
      <c r="M143" s="30"/>
      <c r="N143" s="75"/>
      <c r="O143" s="76"/>
      <c r="P143" s="77"/>
      <c r="Q143" s="77"/>
      <c r="R143" s="30"/>
      <c r="S143" s="75"/>
      <c r="T143" s="76"/>
      <c r="U143" s="77"/>
      <c r="V143" s="77"/>
      <c r="W143" s="30"/>
      <c r="X143" s="75"/>
      <c r="Y143" s="76"/>
      <c r="Z143" s="77"/>
      <c r="AA143" s="77"/>
      <c r="AB143" s="74"/>
      <c r="AC143" s="46"/>
      <c r="AD143" s="75"/>
      <c r="AE143" s="76"/>
      <c r="AF143" s="77"/>
      <c r="AG143" s="77"/>
      <c r="AH143" s="32"/>
      <c r="AI143" s="75"/>
      <c r="AJ143" s="76"/>
      <c r="AK143" s="77"/>
      <c r="AL143" s="77"/>
      <c r="AM143" s="32"/>
      <c r="AN143" s="75"/>
      <c r="AO143" s="76"/>
      <c r="AP143" s="77"/>
      <c r="AQ143" s="77"/>
      <c r="AR143" s="32"/>
      <c r="AS143" s="75"/>
      <c r="AT143" s="76"/>
      <c r="AU143" s="77"/>
      <c r="AV143" s="77"/>
      <c r="AW143" s="30"/>
      <c r="AX143" s="75"/>
      <c r="AY143" s="76"/>
      <c r="AZ143" s="77"/>
      <c r="BA143" s="77"/>
      <c r="BB143" s="9"/>
    </row>
    <row r="144" spans="1:54" x14ac:dyDescent="0.35">
      <c r="A144" s="54"/>
      <c r="B144" s="86" t="s">
        <v>167</v>
      </c>
      <c r="C144" s="74"/>
      <c r="D144" s="75"/>
      <c r="E144" s="76"/>
      <c r="F144" s="77"/>
      <c r="G144" s="77"/>
      <c r="H144" s="74"/>
      <c r="I144" s="75"/>
      <c r="J144" s="76"/>
      <c r="K144" s="77"/>
      <c r="L144" s="77"/>
      <c r="M144" s="30"/>
      <c r="N144" s="75"/>
      <c r="O144" s="76"/>
      <c r="P144" s="77"/>
      <c r="Q144" s="77"/>
      <c r="R144" s="30"/>
      <c r="S144" s="75"/>
      <c r="T144" s="76"/>
      <c r="U144" s="77"/>
      <c r="V144" s="77"/>
      <c r="W144" s="30"/>
      <c r="X144" s="75"/>
      <c r="Y144" s="76"/>
      <c r="Z144" s="77"/>
      <c r="AA144" s="77"/>
      <c r="AB144" s="74"/>
      <c r="AC144" s="46"/>
      <c r="AD144" s="75"/>
      <c r="AE144" s="76"/>
      <c r="AF144" s="77"/>
      <c r="AG144" s="77"/>
      <c r="AH144" s="32" t="e">
        <f>[1]Calc!$C$31/[1]Calc!$C$47</f>
        <v>#DIV/0!</v>
      </c>
      <c r="AI144" s="75"/>
      <c r="AJ144" s="76"/>
      <c r="AK144" s="77"/>
      <c r="AL144" s="77"/>
      <c r="AM144" s="32" t="e">
        <f>[1]Calc!$D$31/[1]Calc!$D$47</f>
        <v>#DIV/0!</v>
      </c>
      <c r="AN144" s="75"/>
      <c r="AO144" s="76"/>
      <c r="AP144" s="77"/>
      <c r="AQ144" s="77"/>
      <c r="AR144" s="32" t="e">
        <f>[1]Calc!$E$31/[1]Calc!$E$47</f>
        <v>#DIV/0!</v>
      </c>
      <c r="AS144" s="75"/>
      <c r="AT144" s="76"/>
      <c r="AU144" s="77"/>
      <c r="AV144" s="77"/>
      <c r="AW144" s="30"/>
      <c r="AX144" s="75"/>
      <c r="AY144" s="76"/>
      <c r="AZ144" s="77"/>
      <c r="BA144" s="77"/>
      <c r="BB144" s="9"/>
    </row>
    <row r="145" spans="1:54" x14ac:dyDescent="0.35">
      <c r="A145" s="54"/>
      <c r="B145" s="86" t="s">
        <v>168</v>
      </c>
      <c r="C145" s="74" t="s">
        <v>27</v>
      </c>
      <c r="D145" s="75" t="s">
        <v>103</v>
      </c>
      <c r="E145" s="44">
        <v>7.9389322867210197</v>
      </c>
      <c r="F145" s="80">
        <v>75.999999999999986</v>
      </c>
      <c r="G145" s="77">
        <v>603.35885379079741</v>
      </c>
      <c r="H145" s="74"/>
      <c r="I145" s="75" t="s">
        <v>103</v>
      </c>
      <c r="J145" s="76">
        <v>3.2974963312593242</v>
      </c>
      <c r="K145" s="77">
        <v>76</v>
      </c>
      <c r="L145" s="77">
        <v>250.60972117570864</v>
      </c>
      <c r="M145" s="30"/>
      <c r="N145" s="75" t="s">
        <v>103</v>
      </c>
      <c r="O145" s="76">
        <v>1.1817030202135215</v>
      </c>
      <c r="P145" s="77">
        <v>76</v>
      </c>
      <c r="Q145" s="77">
        <v>89.809429536227626</v>
      </c>
      <c r="R145" s="30"/>
      <c r="S145" s="75" t="s">
        <v>103</v>
      </c>
      <c r="T145" s="76">
        <v>2.3695479929339789</v>
      </c>
      <c r="U145" s="77">
        <v>76</v>
      </c>
      <c r="V145" s="77">
        <v>180.08564746298239</v>
      </c>
      <c r="W145" s="30"/>
      <c r="X145" s="75" t="s">
        <v>103</v>
      </c>
      <c r="Y145" s="76">
        <v>1.0901849423141954</v>
      </c>
      <c r="Z145" s="77">
        <v>76</v>
      </c>
      <c r="AA145" s="77">
        <v>82.854055615878849</v>
      </c>
      <c r="AB145" s="74"/>
      <c r="AC145" s="46">
        <f>[1]Calc!$B$31/[1]Calc!$B$47</f>
        <v>0.19996358716934984</v>
      </c>
      <c r="AD145" s="75"/>
      <c r="AE145" s="76"/>
      <c r="AF145" s="77"/>
      <c r="AG145" s="77">
        <f>AC145*1004.635</f>
        <v>200.89041839587978</v>
      </c>
      <c r="AH145" s="32" t="e">
        <f>[1]Calc!$C$31/[1]Calc!$C$47</f>
        <v>#DIV/0!</v>
      </c>
      <c r="AI145" s="75"/>
      <c r="AJ145" s="76"/>
      <c r="AK145" s="77"/>
      <c r="AL145" s="77"/>
      <c r="AM145" s="32" t="e">
        <f>[1]Calc!$D$31/[1]Calc!$D$47</f>
        <v>#DIV/0!</v>
      </c>
      <c r="AN145" s="75"/>
      <c r="AO145" s="76"/>
      <c r="AP145" s="77"/>
      <c r="AQ145" s="77"/>
      <c r="AR145" s="32" t="e">
        <f>[1]Calc!$E$31/[1]Calc!$E$47</f>
        <v>#DIV/0!</v>
      </c>
      <c r="AS145" s="75"/>
      <c r="AT145" s="76"/>
      <c r="AU145" s="77"/>
      <c r="AV145" s="77"/>
      <c r="AW145" s="30"/>
      <c r="AX145" s="75"/>
      <c r="AY145" s="44"/>
      <c r="AZ145" s="80"/>
      <c r="BA145" s="77">
        <f>AG145+AL145+AQ145+AV145</f>
        <v>200.89041839587978</v>
      </c>
      <c r="BB145" s="9"/>
    </row>
    <row r="146" spans="1:54" x14ac:dyDescent="0.35">
      <c r="A146" s="54"/>
      <c r="B146" s="86" t="s">
        <v>169</v>
      </c>
      <c r="C146" s="74" t="s">
        <v>27</v>
      </c>
      <c r="D146" s="75" t="s">
        <v>103</v>
      </c>
      <c r="E146" s="44">
        <v>6.351145829376815</v>
      </c>
      <c r="F146" s="80">
        <v>76</v>
      </c>
      <c r="G146" s="77">
        <v>482.68708303263799</v>
      </c>
      <c r="H146" s="74"/>
      <c r="I146" s="75" t="s">
        <v>103</v>
      </c>
      <c r="J146" s="76">
        <v>2.6379970650074589</v>
      </c>
      <c r="K146" s="77">
        <v>76</v>
      </c>
      <c r="L146" s="77">
        <v>200.48777694056687</v>
      </c>
      <c r="M146" s="30"/>
      <c r="N146" s="75" t="s">
        <v>103</v>
      </c>
      <c r="O146" s="76">
        <v>0.94536241617081718</v>
      </c>
      <c r="P146" s="77">
        <v>76</v>
      </c>
      <c r="Q146" s="77">
        <v>71.847543628982109</v>
      </c>
      <c r="R146" s="30"/>
      <c r="S146" s="75" t="s">
        <v>103</v>
      </c>
      <c r="T146" s="76">
        <v>1.8956383943471831</v>
      </c>
      <c r="U146" s="77">
        <v>76</v>
      </c>
      <c r="V146" s="77">
        <v>144.06851797038593</v>
      </c>
      <c r="W146" s="30"/>
      <c r="X146" s="75" t="s">
        <v>103</v>
      </c>
      <c r="Y146" s="76">
        <v>0.87214795385135624</v>
      </c>
      <c r="Z146" s="77">
        <v>76</v>
      </c>
      <c r="AA146" s="77">
        <v>66.283244492703076</v>
      </c>
      <c r="AB146" s="74"/>
      <c r="AC146" s="46">
        <f>[1]Calc!$B$31/[1]Calc!$B$47</f>
        <v>0.19996358716934984</v>
      </c>
      <c r="AD146" s="75"/>
      <c r="AE146" s="76"/>
      <c r="AF146" s="77"/>
      <c r="AG146" s="77">
        <f>AC146*1222.923</f>
        <v>244.5400699119028</v>
      </c>
      <c r="AH146" s="32" t="e">
        <f>[1]Calc!$C$31/[1]Calc!$C$47</f>
        <v>#DIV/0!</v>
      </c>
      <c r="AI146" s="75"/>
      <c r="AJ146" s="76"/>
      <c r="AK146" s="77"/>
      <c r="AL146" s="77"/>
      <c r="AM146" s="32" t="e">
        <f>[1]Calc!$D$31/[1]Calc!$D$47</f>
        <v>#DIV/0!</v>
      </c>
      <c r="AN146" s="75"/>
      <c r="AO146" s="76"/>
      <c r="AP146" s="77"/>
      <c r="AQ146" s="77"/>
      <c r="AR146" s="32" t="e">
        <f>[1]Calc!$E$31/[1]Calc!$E$47</f>
        <v>#DIV/0!</v>
      </c>
      <c r="AS146" s="75"/>
      <c r="AT146" s="76"/>
      <c r="AU146" s="77"/>
      <c r="AV146" s="77"/>
      <c r="AW146" s="30"/>
      <c r="AX146" s="75"/>
      <c r="AY146" s="44"/>
      <c r="AZ146" s="80"/>
      <c r="BA146" s="77">
        <f>AG146+AL146+AQ146+AV146</f>
        <v>244.5400699119028</v>
      </c>
      <c r="BB146" s="9"/>
    </row>
    <row r="147" spans="1:54" x14ac:dyDescent="0.35">
      <c r="A147" s="54"/>
      <c r="B147" s="86" t="s">
        <v>170</v>
      </c>
      <c r="C147" s="74" t="s">
        <v>27</v>
      </c>
      <c r="D147" s="75" t="s">
        <v>103</v>
      </c>
      <c r="E147" s="44">
        <v>0.79389322867210188</v>
      </c>
      <c r="F147" s="80">
        <v>152</v>
      </c>
      <c r="G147" s="77">
        <v>120.6717707581595</v>
      </c>
      <c r="H147" s="74"/>
      <c r="I147" s="75" t="s">
        <v>103</v>
      </c>
      <c r="J147" s="76">
        <v>0.32974963312593236</v>
      </c>
      <c r="K147" s="77">
        <v>152</v>
      </c>
      <c r="L147" s="77">
        <v>50.121944235141719</v>
      </c>
      <c r="M147" s="30"/>
      <c r="N147" s="75" t="s">
        <v>103</v>
      </c>
      <c r="O147" s="76">
        <v>0.11817030202135215</v>
      </c>
      <c r="P147" s="77">
        <v>152</v>
      </c>
      <c r="Q147" s="77">
        <v>17.961885907245527</v>
      </c>
      <c r="R147" s="30"/>
      <c r="S147" s="75" t="s">
        <v>103</v>
      </c>
      <c r="T147" s="76">
        <v>0.23695479929339788</v>
      </c>
      <c r="U147" s="77">
        <v>152</v>
      </c>
      <c r="V147" s="77">
        <v>36.017129492596482</v>
      </c>
      <c r="W147" s="30"/>
      <c r="X147" s="75" t="s">
        <v>103</v>
      </c>
      <c r="Y147" s="76">
        <v>0.10901849423141953</v>
      </c>
      <c r="Z147" s="77">
        <v>152</v>
      </c>
      <c r="AA147" s="77">
        <v>16.570811123175769</v>
      </c>
      <c r="AB147" s="74"/>
      <c r="AC147" s="46">
        <f>[1]Calc!$B$31/[1]Calc!$B$47</f>
        <v>0.19996358716934984</v>
      </c>
      <c r="AD147" s="75"/>
      <c r="AE147" s="76"/>
      <c r="AF147" s="77"/>
      <c r="AG147" s="77">
        <f>AC147*0</f>
        <v>0</v>
      </c>
      <c r="AH147" s="32" t="e">
        <f>[1]Calc!$C$31/[1]Calc!$C$47</f>
        <v>#DIV/0!</v>
      </c>
      <c r="AI147" s="75"/>
      <c r="AJ147" s="76"/>
      <c r="AK147" s="77"/>
      <c r="AL147" s="77"/>
      <c r="AM147" s="32" t="e">
        <f>[1]Calc!$D$31/[1]Calc!$D$47</f>
        <v>#DIV/0!</v>
      </c>
      <c r="AN147" s="75"/>
      <c r="AO147" s="76"/>
      <c r="AP147" s="77"/>
      <c r="AQ147" s="77"/>
      <c r="AR147" s="32" t="e">
        <f>[1]Calc!$E$31/[1]Calc!$E$47</f>
        <v>#DIV/0!</v>
      </c>
      <c r="AS147" s="75"/>
      <c r="AT147" s="76"/>
      <c r="AU147" s="77"/>
      <c r="AV147" s="77"/>
      <c r="AW147" s="30"/>
      <c r="AX147" s="75"/>
      <c r="AY147" s="44"/>
      <c r="AZ147" s="80"/>
      <c r="BA147" s="77">
        <f>AG147+AL147+AQ147+AV147</f>
        <v>0</v>
      </c>
      <c r="BB147" s="9"/>
    </row>
    <row r="148" spans="1:54" x14ac:dyDescent="0.35">
      <c r="A148" s="54"/>
      <c r="B148" s="86"/>
      <c r="C148" s="74"/>
      <c r="D148" s="75"/>
      <c r="E148" s="76"/>
      <c r="F148" s="77"/>
      <c r="G148" s="77"/>
      <c r="H148" s="74"/>
      <c r="I148" s="75"/>
      <c r="J148" s="76"/>
      <c r="K148" s="77"/>
      <c r="L148" s="77"/>
      <c r="M148" s="30"/>
      <c r="N148" s="75"/>
      <c r="O148" s="76"/>
      <c r="P148" s="77"/>
      <c r="Q148" s="77"/>
      <c r="R148" s="30"/>
      <c r="S148" s="75"/>
      <c r="T148" s="76"/>
      <c r="U148" s="77"/>
      <c r="V148" s="77"/>
      <c r="W148" s="30"/>
      <c r="X148" s="75"/>
      <c r="Y148" s="76"/>
      <c r="Z148" s="77"/>
      <c r="AA148" s="77"/>
      <c r="AB148" s="74"/>
      <c r="AC148" s="46"/>
      <c r="AD148" s="75"/>
      <c r="AE148" s="76"/>
      <c r="AF148" s="77"/>
      <c r="AG148" s="77"/>
      <c r="AH148" s="32"/>
      <c r="AI148" s="75"/>
      <c r="AJ148" s="76"/>
      <c r="AK148" s="77"/>
      <c r="AL148" s="77"/>
      <c r="AM148" s="32"/>
      <c r="AN148" s="75"/>
      <c r="AO148" s="76"/>
      <c r="AP148" s="77"/>
      <c r="AQ148" s="77"/>
      <c r="AR148" s="32"/>
      <c r="AS148" s="75"/>
      <c r="AT148" s="76"/>
      <c r="AU148" s="77"/>
      <c r="AV148" s="77"/>
      <c r="AW148" s="30"/>
      <c r="AX148" s="75"/>
      <c r="AY148" s="76"/>
      <c r="AZ148" s="77"/>
      <c r="BA148" s="77"/>
      <c r="BB148" s="9"/>
    </row>
    <row r="149" spans="1:54" x14ac:dyDescent="0.35">
      <c r="A149" s="54"/>
      <c r="B149" s="71" t="s">
        <v>171</v>
      </c>
      <c r="C149" s="74"/>
      <c r="D149" s="75"/>
      <c r="E149" s="76"/>
      <c r="F149" s="77"/>
      <c r="G149" s="77"/>
      <c r="H149" s="74"/>
      <c r="I149" s="75"/>
      <c r="J149" s="76"/>
      <c r="K149" s="77"/>
      <c r="L149" s="77"/>
      <c r="M149" s="30"/>
      <c r="N149" s="75"/>
      <c r="O149" s="76"/>
      <c r="P149" s="77"/>
      <c r="Q149" s="77"/>
      <c r="R149" s="30"/>
      <c r="S149" s="75"/>
      <c r="T149" s="76"/>
      <c r="U149" s="77"/>
      <c r="V149" s="77"/>
      <c r="W149" s="30"/>
      <c r="X149" s="75"/>
      <c r="Y149" s="76"/>
      <c r="Z149" s="77"/>
      <c r="AA149" s="77"/>
      <c r="AB149" s="74"/>
      <c r="AC149" s="46"/>
      <c r="AD149" s="75"/>
      <c r="AE149" s="76"/>
      <c r="AF149" s="77"/>
      <c r="AG149" s="77"/>
      <c r="AH149" s="32"/>
      <c r="AI149" s="75"/>
      <c r="AJ149" s="76"/>
      <c r="AK149" s="77"/>
      <c r="AL149" s="77"/>
      <c r="AM149" s="32"/>
      <c r="AN149" s="75"/>
      <c r="AO149" s="76"/>
      <c r="AP149" s="77"/>
      <c r="AQ149" s="77"/>
      <c r="AR149" s="32"/>
      <c r="AS149" s="75"/>
      <c r="AT149" s="76"/>
      <c r="AU149" s="77"/>
      <c r="AV149" s="77"/>
      <c r="AW149" s="30"/>
      <c r="AX149" s="75"/>
      <c r="AY149" s="76"/>
      <c r="AZ149" s="77"/>
      <c r="BA149" s="77"/>
      <c r="BB149" s="9"/>
    </row>
    <row r="150" spans="1:54" x14ac:dyDescent="0.35">
      <c r="A150" s="54"/>
      <c r="B150" s="73" t="s">
        <v>164</v>
      </c>
      <c r="C150" s="74"/>
      <c r="D150" s="75"/>
      <c r="E150" s="76"/>
      <c r="F150" s="77"/>
      <c r="G150" s="77"/>
      <c r="H150" s="74"/>
      <c r="I150" s="75"/>
      <c r="J150" s="76"/>
      <c r="K150" s="77"/>
      <c r="L150" s="77"/>
      <c r="M150" s="30"/>
      <c r="N150" s="75"/>
      <c r="O150" s="76"/>
      <c r="P150" s="77"/>
      <c r="Q150" s="77"/>
      <c r="R150" s="30"/>
      <c r="S150" s="75"/>
      <c r="T150" s="76"/>
      <c r="U150" s="77"/>
      <c r="V150" s="77"/>
      <c r="W150" s="30"/>
      <c r="X150" s="75"/>
      <c r="Y150" s="76"/>
      <c r="Z150" s="77"/>
      <c r="AA150" s="77"/>
      <c r="AB150" s="74"/>
      <c r="AC150" s="46"/>
      <c r="AD150" s="75"/>
      <c r="AE150" s="76"/>
      <c r="AF150" s="77"/>
      <c r="AG150" s="77"/>
      <c r="AH150" s="32" t="e">
        <f>[1]Calc!$C$31/[1]Calc!$C$47</f>
        <v>#DIV/0!</v>
      </c>
      <c r="AI150" s="75"/>
      <c r="AJ150" s="76"/>
      <c r="AK150" s="77"/>
      <c r="AL150" s="77"/>
      <c r="AM150" s="32" t="e">
        <f>[1]Calc!$D$31/[1]Calc!$D$47</f>
        <v>#DIV/0!</v>
      </c>
      <c r="AN150" s="75"/>
      <c r="AO150" s="76"/>
      <c r="AP150" s="77"/>
      <c r="AQ150" s="77"/>
      <c r="AR150" s="32" t="e">
        <f>[1]Calc!$E$31/[1]Calc!$E$47</f>
        <v>#DIV/0!</v>
      </c>
      <c r="AS150" s="75"/>
      <c r="AT150" s="76"/>
      <c r="AU150" s="77"/>
      <c r="AV150" s="77"/>
      <c r="AW150" s="30"/>
      <c r="AX150" s="75"/>
      <c r="AY150" s="76"/>
      <c r="AZ150" s="77"/>
      <c r="BA150" s="77"/>
      <c r="BB150" s="9"/>
    </row>
    <row r="151" spans="1:54" x14ac:dyDescent="0.35">
      <c r="A151" s="54"/>
      <c r="B151" s="79" t="s">
        <v>172</v>
      </c>
      <c r="C151" s="74" t="s">
        <v>27</v>
      </c>
      <c r="D151" s="75" t="s">
        <v>56</v>
      </c>
      <c r="E151" s="44">
        <v>11.90839843008153</v>
      </c>
      <c r="F151" s="80">
        <v>38.112254309352593</v>
      </c>
      <c r="G151" s="77">
        <v>453.85590938436246</v>
      </c>
      <c r="H151" s="74"/>
      <c r="I151" s="75" t="s">
        <v>56</v>
      </c>
      <c r="J151" s="76">
        <v>4.946244496888986</v>
      </c>
      <c r="K151" s="77">
        <v>38.112254309352593</v>
      </c>
      <c r="L151" s="77">
        <v>188.51252814166881</v>
      </c>
      <c r="M151" s="30"/>
      <c r="N151" s="75" t="s">
        <v>56</v>
      </c>
      <c r="O151" s="76">
        <v>1.7725545303202821</v>
      </c>
      <c r="P151" s="77">
        <v>38.112254309352593</v>
      </c>
      <c r="Q151" s="77">
        <v>67.556049036761635</v>
      </c>
      <c r="R151" s="30"/>
      <c r="S151" s="75" t="s">
        <v>56</v>
      </c>
      <c r="T151" s="76">
        <v>3.5543219894009681</v>
      </c>
      <c r="U151" s="77">
        <v>38.112254309352593</v>
      </c>
      <c r="V151" s="77">
        <v>135.46322355737374</v>
      </c>
      <c r="W151" s="30"/>
      <c r="X151" s="75" t="s">
        <v>56</v>
      </c>
      <c r="Y151" s="76">
        <v>1.6352774134712929</v>
      </c>
      <c r="Z151" s="77">
        <v>38.112254309352593</v>
      </c>
      <c r="AA151" s="77">
        <v>62.324108648558244</v>
      </c>
      <c r="AB151" s="74"/>
      <c r="AC151" s="46">
        <f>[1]Calc!$B$31/[1]Calc!$B$47</f>
        <v>0.19996358716934984</v>
      </c>
      <c r="AD151" s="75"/>
      <c r="AE151" s="76"/>
      <c r="AF151" s="77"/>
      <c r="AG151" s="77">
        <f>AC151*0</f>
        <v>0</v>
      </c>
      <c r="AH151" s="32" t="e">
        <f>[1]Calc!$C$31/[1]Calc!$C$47</f>
        <v>#DIV/0!</v>
      </c>
      <c r="AI151" s="75"/>
      <c r="AJ151" s="76"/>
      <c r="AK151" s="77"/>
      <c r="AL151" s="77"/>
      <c r="AM151" s="32" t="e">
        <f>[1]Calc!$D$31/[1]Calc!$D$47</f>
        <v>#DIV/0!</v>
      </c>
      <c r="AN151" s="75"/>
      <c r="AO151" s="76"/>
      <c r="AP151" s="77"/>
      <c r="AQ151" s="77"/>
      <c r="AR151" s="32" t="e">
        <f>[1]Calc!$E$31/[1]Calc!$E$47</f>
        <v>#DIV/0!</v>
      </c>
      <c r="AS151" s="75"/>
      <c r="AT151" s="76"/>
      <c r="AU151" s="77"/>
      <c r="AV151" s="77"/>
      <c r="AW151" s="30"/>
      <c r="AX151" s="75"/>
      <c r="AY151" s="44"/>
      <c r="AZ151" s="80"/>
      <c r="BA151" s="77">
        <f>AG151+AL151+AQ151+AV151</f>
        <v>0</v>
      </c>
      <c r="BB151" s="9"/>
    </row>
    <row r="152" spans="1:54" x14ac:dyDescent="0.35">
      <c r="A152" s="54"/>
      <c r="B152" s="79" t="s">
        <v>173</v>
      </c>
      <c r="C152" s="74" t="s">
        <v>27</v>
      </c>
      <c r="D152" s="75" t="s">
        <v>58</v>
      </c>
      <c r="E152" s="44">
        <v>9.5267187440652226</v>
      </c>
      <c r="F152" s="80">
        <v>76.000000000000014</v>
      </c>
      <c r="G152" s="77">
        <v>724.03062454895701</v>
      </c>
      <c r="H152" s="74"/>
      <c r="I152" s="75" t="s">
        <v>58</v>
      </c>
      <c r="J152" s="76">
        <v>3.9569955975111886</v>
      </c>
      <c r="K152" s="77">
        <v>76</v>
      </c>
      <c r="L152" s="77">
        <v>300.73166541085033</v>
      </c>
      <c r="M152" s="30"/>
      <c r="N152" s="75" t="s">
        <v>58</v>
      </c>
      <c r="O152" s="76">
        <v>1.4180436242562258</v>
      </c>
      <c r="P152" s="77">
        <v>76</v>
      </c>
      <c r="Q152" s="77">
        <v>107.77131544347316</v>
      </c>
      <c r="R152" s="30"/>
      <c r="S152" s="75" t="s">
        <v>58</v>
      </c>
      <c r="T152" s="76">
        <v>2.8434575915207749</v>
      </c>
      <c r="U152" s="77">
        <v>76</v>
      </c>
      <c r="V152" s="77">
        <v>216.10277695557889</v>
      </c>
      <c r="W152" s="30"/>
      <c r="X152" s="75" t="s">
        <v>58</v>
      </c>
      <c r="Y152" s="76">
        <v>1.3082219307770344</v>
      </c>
      <c r="Z152" s="77">
        <v>76</v>
      </c>
      <c r="AA152" s="77">
        <v>99.424866739054622</v>
      </c>
      <c r="AB152" s="74"/>
      <c r="AC152" s="46">
        <f>[1]Calc!$B$31/[1]Calc!$B$47</f>
        <v>0.19996358716934984</v>
      </c>
      <c r="AD152" s="75"/>
      <c r="AE152" s="76"/>
      <c r="AF152" s="77"/>
      <c r="AG152" s="77">
        <f>AC152*0</f>
        <v>0</v>
      </c>
      <c r="AH152" s="32" t="e">
        <f>[1]Calc!$C$31/[1]Calc!$C$47</f>
        <v>#DIV/0!</v>
      </c>
      <c r="AI152" s="75"/>
      <c r="AJ152" s="76"/>
      <c r="AK152" s="77"/>
      <c r="AL152" s="77"/>
      <c r="AM152" s="32" t="e">
        <f>[1]Calc!$D$31/[1]Calc!$D$47</f>
        <v>#DIV/0!</v>
      </c>
      <c r="AN152" s="75"/>
      <c r="AO152" s="76"/>
      <c r="AP152" s="77"/>
      <c r="AQ152" s="77"/>
      <c r="AR152" s="32" t="e">
        <f>[1]Calc!$E$31/[1]Calc!$E$47</f>
        <v>#DIV/0!</v>
      </c>
      <c r="AS152" s="75"/>
      <c r="AT152" s="76"/>
      <c r="AU152" s="77"/>
      <c r="AV152" s="77"/>
      <c r="AW152" s="30"/>
      <c r="AX152" s="75"/>
      <c r="AY152" s="44"/>
      <c r="AZ152" s="80"/>
      <c r="BA152" s="77">
        <f>AG152+AL152+AQ152+AV152</f>
        <v>0</v>
      </c>
      <c r="BB152" s="9"/>
    </row>
    <row r="153" spans="1:54" x14ac:dyDescent="0.35">
      <c r="A153" s="54"/>
      <c r="B153" s="73" t="s">
        <v>166</v>
      </c>
      <c r="C153" s="74"/>
      <c r="D153" s="75"/>
      <c r="E153" s="76"/>
      <c r="F153" s="77"/>
      <c r="G153" s="77"/>
      <c r="H153" s="74"/>
      <c r="I153" s="75"/>
      <c r="J153" s="76"/>
      <c r="K153" s="77"/>
      <c r="L153" s="77"/>
      <c r="M153" s="30"/>
      <c r="N153" s="75"/>
      <c r="O153" s="76"/>
      <c r="P153" s="77"/>
      <c r="Q153" s="77"/>
      <c r="R153" s="30"/>
      <c r="S153" s="75"/>
      <c r="T153" s="76"/>
      <c r="U153" s="77"/>
      <c r="V153" s="77"/>
      <c r="W153" s="30"/>
      <c r="X153" s="75"/>
      <c r="Y153" s="76"/>
      <c r="Z153" s="77"/>
      <c r="AA153" s="77"/>
      <c r="AB153" s="74"/>
      <c r="AC153" s="46"/>
      <c r="AD153" s="75"/>
      <c r="AE153" s="76"/>
      <c r="AF153" s="77"/>
      <c r="AG153" s="77"/>
      <c r="AH153" s="32" t="e">
        <f>[1]Calc!$C$31/[1]Calc!$C$47</f>
        <v>#DIV/0!</v>
      </c>
      <c r="AI153" s="75"/>
      <c r="AJ153" s="76"/>
      <c r="AK153" s="77"/>
      <c r="AL153" s="77"/>
      <c r="AM153" s="32" t="e">
        <f>[1]Calc!$D$31/[1]Calc!$D$47</f>
        <v>#DIV/0!</v>
      </c>
      <c r="AN153" s="75"/>
      <c r="AO153" s="76"/>
      <c r="AP153" s="77"/>
      <c r="AQ153" s="77"/>
      <c r="AR153" s="32" t="e">
        <f>[1]Calc!$E$31/[1]Calc!$E$47</f>
        <v>#DIV/0!</v>
      </c>
      <c r="AS153" s="75"/>
      <c r="AT153" s="76"/>
      <c r="AU153" s="77"/>
      <c r="AV153" s="77"/>
      <c r="AW153" s="30"/>
      <c r="AX153" s="75"/>
      <c r="AY153" s="76"/>
      <c r="AZ153" s="77"/>
      <c r="BA153" s="77"/>
      <c r="BB153" s="9"/>
    </row>
    <row r="154" spans="1:54" x14ac:dyDescent="0.35">
      <c r="A154" s="54"/>
      <c r="B154" s="79" t="s">
        <v>174</v>
      </c>
      <c r="C154" s="74" t="s">
        <v>27</v>
      </c>
      <c r="D154" s="75" t="s">
        <v>56</v>
      </c>
      <c r="E154" s="44">
        <v>7.9389322867210197</v>
      </c>
      <c r="F154" s="80">
        <v>40</v>
      </c>
      <c r="G154" s="77">
        <v>317.55729146884079</v>
      </c>
      <c r="H154" s="74"/>
      <c r="I154" s="75" t="s">
        <v>56</v>
      </c>
      <c r="J154" s="76">
        <v>3.2974963312593242</v>
      </c>
      <c r="K154" s="77">
        <v>40</v>
      </c>
      <c r="L154" s="77">
        <v>131.89985325037296</v>
      </c>
      <c r="M154" s="30"/>
      <c r="N154" s="75" t="s">
        <v>56</v>
      </c>
      <c r="O154" s="76">
        <v>1.1817030202135215</v>
      </c>
      <c r="P154" s="77">
        <v>40</v>
      </c>
      <c r="Q154" s="77">
        <v>47.268120808540857</v>
      </c>
      <c r="R154" s="30"/>
      <c r="S154" s="75" t="s">
        <v>56</v>
      </c>
      <c r="T154" s="76">
        <v>2.3695479929339789</v>
      </c>
      <c r="U154" s="77">
        <v>40</v>
      </c>
      <c r="V154" s="77">
        <v>94.781919717359159</v>
      </c>
      <c r="W154" s="30"/>
      <c r="X154" s="75" t="s">
        <v>56</v>
      </c>
      <c r="Y154" s="76">
        <v>1.0901849423141954</v>
      </c>
      <c r="Z154" s="77">
        <v>40</v>
      </c>
      <c r="AA154" s="77">
        <v>43.607397692567815</v>
      </c>
      <c r="AB154" s="74"/>
      <c r="AC154" s="46">
        <f>[1]Calc!$B$31/[1]Calc!$B$47</f>
        <v>0.19996358716934984</v>
      </c>
      <c r="AD154" s="75"/>
      <c r="AE154" s="76"/>
      <c r="AF154" s="77"/>
      <c r="AG154" s="77">
        <f>AC154*0</f>
        <v>0</v>
      </c>
      <c r="AH154" s="32" t="e">
        <f>[1]Calc!$C$31/[1]Calc!$C$47</f>
        <v>#DIV/0!</v>
      </c>
      <c r="AI154" s="75"/>
      <c r="AJ154" s="76"/>
      <c r="AK154" s="77"/>
      <c r="AL154" s="77"/>
      <c r="AM154" s="32" t="e">
        <f>[1]Calc!$D$31/[1]Calc!$D$47</f>
        <v>#DIV/0!</v>
      </c>
      <c r="AN154" s="75"/>
      <c r="AO154" s="76"/>
      <c r="AP154" s="77"/>
      <c r="AQ154" s="77"/>
      <c r="AR154" s="32" t="e">
        <f>[1]Calc!$E$31/[1]Calc!$E$47</f>
        <v>#DIV/0!</v>
      </c>
      <c r="AS154" s="75"/>
      <c r="AT154" s="76"/>
      <c r="AU154" s="77"/>
      <c r="AV154" s="77"/>
      <c r="AW154" s="30"/>
      <c r="AX154" s="75"/>
      <c r="AY154" s="44"/>
      <c r="AZ154" s="80"/>
      <c r="BA154" s="77">
        <f>AG154+AL154+AQ154+AV154</f>
        <v>0</v>
      </c>
      <c r="BB154" s="9"/>
    </row>
    <row r="155" spans="1:54" x14ac:dyDescent="0.35">
      <c r="A155" s="54"/>
      <c r="B155" s="79" t="s">
        <v>175</v>
      </c>
      <c r="C155" s="74" t="s">
        <v>27</v>
      </c>
      <c r="D155" s="75" t="s">
        <v>58</v>
      </c>
      <c r="E155" s="44">
        <v>7.1450390580489174</v>
      </c>
      <c r="F155" s="80">
        <v>70</v>
      </c>
      <c r="G155" s="77">
        <v>500.15273406342419</v>
      </c>
      <c r="H155" s="74"/>
      <c r="I155" s="75" t="s">
        <v>58</v>
      </c>
      <c r="J155" s="76">
        <v>2.9677466981333915</v>
      </c>
      <c r="K155" s="77">
        <v>70</v>
      </c>
      <c r="L155" s="77">
        <v>207.74226886933741</v>
      </c>
      <c r="M155" s="30"/>
      <c r="N155" s="75" t="s">
        <v>58</v>
      </c>
      <c r="O155" s="76">
        <v>1.0635327181921692</v>
      </c>
      <c r="P155" s="77">
        <v>70</v>
      </c>
      <c r="Q155" s="77">
        <v>74.447290273451841</v>
      </c>
      <c r="R155" s="30"/>
      <c r="S155" s="75" t="s">
        <v>58</v>
      </c>
      <c r="T155" s="76">
        <v>2.1325931936405809</v>
      </c>
      <c r="U155" s="77">
        <v>70</v>
      </c>
      <c r="V155" s="77">
        <v>149.28152355484065</v>
      </c>
      <c r="W155" s="30"/>
      <c r="X155" s="75" t="s">
        <v>58</v>
      </c>
      <c r="Y155" s="76">
        <v>0.98116644808277576</v>
      </c>
      <c r="Z155" s="77">
        <v>70</v>
      </c>
      <c r="AA155" s="77">
        <v>68.681651365794309</v>
      </c>
      <c r="AB155" s="74"/>
      <c r="AC155" s="46">
        <f>[1]Calc!$B$31/[1]Calc!$B$47</f>
        <v>0.19996358716934984</v>
      </c>
      <c r="AD155" s="75"/>
      <c r="AE155" s="76"/>
      <c r="AF155" s="77"/>
      <c r="AG155" s="77">
        <f>AC155*0</f>
        <v>0</v>
      </c>
      <c r="AH155" s="32" t="e">
        <f>[1]Calc!$C$31/[1]Calc!$C$47</f>
        <v>#DIV/0!</v>
      </c>
      <c r="AI155" s="75"/>
      <c r="AJ155" s="76"/>
      <c r="AK155" s="77"/>
      <c r="AL155" s="77"/>
      <c r="AM155" s="32" t="e">
        <f>[1]Calc!$D$31/[1]Calc!$D$47</f>
        <v>#DIV/0!</v>
      </c>
      <c r="AN155" s="75"/>
      <c r="AO155" s="76"/>
      <c r="AP155" s="77"/>
      <c r="AQ155" s="77"/>
      <c r="AR155" s="32" t="e">
        <f>[1]Calc!$E$31/[1]Calc!$E$47</f>
        <v>#DIV/0!</v>
      </c>
      <c r="AS155" s="75"/>
      <c r="AT155" s="76"/>
      <c r="AU155" s="77"/>
      <c r="AV155" s="77"/>
      <c r="AW155" s="30"/>
      <c r="AX155" s="75"/>
      <c r="AY155" s="44"/>
      <c r="AZ155" s="80"/>
      <c r="BA155" s="77">
        <f>AG155+AL155+AQ155+AV155</f>
        <v>0</v>
      </c>
      <c r="BB155" s="9"/>
    </row>
    <row r="156" spans="1:54" x14ac:dyDescent="0.35">
      <c r="A156" s="54"/>
      <c r="B156" s="92"/>
      <c r="C156" s="74"/>
      <c r="D156" s="75"/>
      <c r="E156" s="76"/>
      <c r="F156" s="77"/>
      <c r="G156" s="77"/>
      <c r="H156" s="74"/>
      <c r="I156" s="75"/>
      <c r="J156" s="76"/>
      <c r="K156" s="77"/>
      <c r="L156" s="77"/>
      <c r="M156" s="30"/>
      <c r="N156" s="75"/>
      <c r="O156" s="76"/>
      <c r="P156" s="77"/>
      <c r="Q156" s="77"/>
      <c r="R156" s="30"/>
      <c r="S156" s="75"/>
      <c r="T156" s="76"/>
      <c r="U156" s="77"/>
      <c r="V156" s="77"/>
      <c r="W156" s="30"/>
      <c r="X156" s="75"/>
      <c r="Y156" s="76"/>
      <c r="Z156" s="77"/>
      <c r="AA156" s="77"/>
      <c r="AB156" s="74"/>
      <c r="AC156" s="46"/>
      <c r="AD156" s="75"/>
      <c r="AE156" s="76"/>
      <c r="AF156" s="77"/>
      <c r="AG156" s="77"/>
      <c r="AH156" s="32"/>
      <c r="AI156" s="75"/>
      <c r="AJ156" s="76"/>
      <c r="AK156" s="77"/>
      <c r="AL156" s="77"/>
      <c r="AM156" s="32"/>
      <c r="AN156" s="75"/>
      <c r="AO156" s="76"/>
      <c r="AP156" s="77"/>
      <c r="AQ156" s="77"/>
      <c r="AR156" s="32"/>
      <c r="AS156" s="75"/>
      <c r="AT156" s="76"/>
      <c r="AU156" s="77"/>
      <c r="AV156" s="77"/>
      <c r="AW156" s="30"/>
      <c r="AX156" s="75"/>
      <c r="AY156" s="76"/>
      <c r="AZ156" s="77"/>
      <c r="BA156" s="77"/>
      <c r="BB156" s="9"/>
    </row>
    <row r="157" spans="1:54" x14ac:dyDescent="0.35">
      <c r="A157" s="54"/>
      <c r="B157" s="71" t="s">
        <v>176</v>
      </c>
      <c r="C157" s="74"/>
      <c r="D157" s="75"/>
      <c r="E157" s="76"/>
      <c r="F157" s="77"/>
      <c r="G157" s="77"/>
      <c r="H157" s="74"/>
      <c r="I157" s="75"/>
      <c r="J157" s="76"/>
      <c r="K157" s="77"/>
      <c r="L157" s="77"/>
      <c r="M157" s="30"/>
      <c r="N157" s="75"/>
      <c r="O157" s="76"/>
      <c r="P157" s="77"/>
      <c r="Q157" s="77"/>
      <c r="R157" s="30"/>
      <c r="S157" s="75"/>
      <c r="T157" s="76"/>
      <c r="U157" s="77"/>
      <c r="V157" s="77"/>
      <c r="W157" s="30"/>
      <c r="X157" s="75"/>
      <c r="Y157" s="76"/>
      <c r="Z157" s="77"/>
      <c r="AA157" s="77"/>
      <c r="AB157" s="74"/>
      <c r="AC157" s="46"/>
      <c r="AD157" s="75"/>
      <c r="AE157" s="76"/>
      <c r="AF157" s="77"/>
      <c r="AG157" s="77"/>
      <c r="AH157" s="32"/>
      <c r="AI157" s="75"/>
      <c r="AJ157" s="76"/>
      <c r="AK157" s="77"/>
      <c r="AL157" s="77"/>
      <c r="AM157" s="32"/>
      <c r="AN157" s="75"/>
      <c r="AO157" s="76"/>
      <c r="AP157" s="77"/>
      <c r="AQ157" s="77"/>
      <c r="AR157" s="32"/>
      <c r="AS157" s="75"/>
      <c r="AT157" s="76"/>
      <c r="AU157" s="77"/>
      <c r="AV157" s="77"/>
      <c r="AW157" s="30"/>
      <c r="AX157" s="75"/>
      <c r="AY157" s="76"/>
      <c r="AZ157" s="77"/>
      <c r="BA157" s="77"/>
      <c r="BB157" s="9"/>
    </row>
    <row r="158" spans="1:54" x14ac:dyDescent="0.35">
      <c r="A158" s="54"/>
      <c r="B158" s="73" t="s">
        <v>177</v>
      </c>
      <c r="C158" s="74"/>
      <c r="D158" s="75"/>
      <c r="E158" s="76"/>
      <c r="F158" s="77"/>
      <c r="G158" s="77"/>
      <c r="H158" s="74"/>
      <c r="I158" s="75"/>
      <c r="J158" s="76"/>
      <c r="K158" s="77"/>
      <c r="L158" s="77"/>
      <c r="M158" s="30"/>
      <c r="N158" s="75"/>
      <c r="O158" s="76"/>
      <c r="P158" s="77"/>
      <c r="Q158" s="77"/>
      <c r="R158" s="30"/>
      <c r="S158" s="75"/>
      <c r="T158" s="76"/>
      <c r="U158" s="77"/>
      <c r="V158" s="77"/>
      <c r="W158" s="30"/>
      <c r="X158" s="75"/>
      <c r="Y158" s="76"/>
      <c r="Z158" s="77"/>
      <c r="AA158" s="77"/>
      <c r="AB158" s="74"/>
      <c r="AC158" s="46"/>
      <c r="AD158" s="75"/>
      <c r="AE158" s="76"/>
      <c r="AF158" s="77"/>
      <c r="AG158" s="77"/>
      <c r="AH158" s="32" t="e">
        <f>[1]Calc!$C$31/[1]Calc!$C$47</f>
        <v>#DIV/0!</v>
      </c>
      <c r="AI158" s="75"/>
      <c r="AJ158" s="76"/>
      <c r="AK158" s="77"/>
      <c r="AL158" s="77"/>
      <c r="AM158" s="32" t="e">
        <f>[1]Calc!$D$31/[1]Calc!$D$47</f>
        <v>#DIV/0!</v>
      </c>
      <c r="AN158" s="75"/>
      <c r="AO158" s="76"/>
      <c r="AP158" s="77"/>
      <c r="AQ158" s="77"/>
      <c r="AR158" s="32" t="e">
        <f>[1]Calc!$E$31/[1]Calc!$E$47</f>
        <v>#DIV/0!</v>
      </c>
      <c r="AS158" s="75"/>
      <c r="AT158" s="76"/>
      <c r="AU158" s="77"/>
      <c r="AV158" s="77"/>
      <c r="AW158" s="30"/>
      <c r="AX158" s="75"/>
      <c r="AY158" s="76"/>
      <c r="AZ158" s="77"/>
      <c r="BA158" s="77"/>
      <c r="BB158" s="9"/>
    </row>
    <row r="159" spans="1:54" x14ac:dyDescent="0.35">
      <c r="A159" s="54"/>
      <c r="B159" s="79" t="s">
        <v>178</v>
      </c>
      <c r="C159" s="74" t="s">
        <v>27</v>
      </c>
      <c r="D159" s="75" t="s">
        <v>56</v>
      </c>
      <c r="E159" s="44">
        <v>47.633593720326118</v>
      </c>
      <c r="F159" s="80">
        <v>19</v>
      </c>
      <c r="G159" s="77">
        <v>905.03828068619623</v>
      </c>
      <c r="H159" s="74"/>
      <c r="I159" s="75" t="s">
        <v>56</v>
      </c>
      <c r="J159" s="76">
        <v>19.784977987555944</v>
      </c>
      <c r="K159" s="77">
        <v>19</v>
      </c>
      <c r="L159" s="77">
        <v>375.91458176356292</v>
      </c>
      <c r="M159" s="30"/>
      <c r="N159" s="75" t="s">
        <v>56</v>
      </c>
      <c r="O159" s="76">
        <v>7.0902181212811284</v>
      </c>
      <c r="P159" s="77">
        <v>19</v>
      </c>
      <c r="Q159" s="77">
        <v>134.71414430434143</v>
      </c>
      <c r="R159" s="30"/>
      <c r="S159" s="75" t="s">
        <v>56</v>
      </c>
      <c r="T159" s="76">
        <v>14.217287957603872</v>
      </c>
      <c r="U159" s="77">
        <v>19</v>
      </c>
      <c r="V159" s="77">
        <v>270.1284711944736</v>
      </c>
      <c r="W159" s="30"/>
      <c r="X159" s="75" t="s">
        <v>56</v>
      </c>
      <c r="Y159" s="76">
        <v>6.5411096538851714</v>
      </c>
      <c r="Z159" s="77">
        <v>19</v>
      </c>
      <c r="AA159" s="77">
        <v>124.28108342381826</v>
      </c>
      <c r="AB159" s="74"/>
      <c r="AC159" s="46">
        <f>[1]Calc!$B$31/[1]Calc!$B$47</f>
        <v>0.19996358716934984</v>
      </c>
      <c r="AD159" s="75"/>
      <c r="AE159" s="76"/>
      <c r="AF159" s="77"/>
      <c r="AG159" s="77">
        <f>AC159*3582.859</f>
        <v>716.44133796198957</v>
      </c>
      <c r="AH159" s="32" t="e">
        <f>[1]Calc!$C$31/[1]Calc!$C$47</f>
        <v>#DIV/0!</v>
      </c>
      <c r="AI159" s="75"/>
      <c r="AJ159" s="76"/>
      <c r="AK159" s="77"/>
      <c r="AL159" s="77"/>
      <c r="AM159" s="32" t="e">
        <f>[1]Calc!$D$31/[1]Calc!$D$47</f>
        <v>#DIV/0!</v>
      </c>
      <c r="AN159" s="75"/>
      <c r="AO159" s="76"/>
      <c r="AP159" s="77"/>
      <c r="AQ159" s="77"/>
      <c r="AR159" s="32" t="e">
        <f>[1]Calc!$E$31/[1]Calc!$E$47</f>
        <v>#DIV/0!</v>
      </c>
      <c r="AS159" s="75"/>
      <c r="AT159" s="76"/>
      <c r="AU159" s="77"/>
      <c r="AV159" s="77"/>
      <c r="AW159" s="30"/>
      <c r="AX159" s="75"/>
      <c r="AY159" s="44"/>
      <c r="AZ159" s="80"/>
      <c r="BA159" s="77">
        <f>AG159+AL159+AQ159+AV159</f>
        <v>716.44133796198957</v>
      </c>
      <c r="BB159" s="9"/>
    </row>
    <row r="160" spans="1:54" x14ac:dyDescent="0.35">
      <c r="A160" s="54"/>
      <c r="B160" s="79" t="s">
        <v>179</v>
      </c>
      <c r="C160" s="74" t="s">
        <v>27</v>
      </c>
      <c r="D160" s="75" t="s">
        <v>58</v>
      </c>
      <c r="E160" s="44">
        <v>31.755729146884079</v>
      </c>
      <c r="F160" s="80">
        <v>30.000000000000004</v>
      </c>
      <c r="G160" s="77">
        <v>952.67187440652242</v>
      </c>
      <c r="H160" s="74"/>
      <c r="I160" s="75" t="s">
        <v>58</v>
      </c>
      <c r="J160" s="76">
        <v>13.189985325037297</v>
      </c>
      <c r="K160" s="77">
        <v>30</v>
      </c>
      <c r="L160" s="77">
        <v>395.6995597511189</v>
      </c>
      <c r="M160" s="30"/>
      <c r="N160" s="75" t="s">
        <v>58</v>
      </c>
      <c r="O160" s="76">
        <v>4.7268120808540859</v>
      </c>
      <c r="P160" s="77">
        <v>30</v>
      </c>
      <c r="Q160" s="77">
        <v>141.80436242562257</v>
      </c>
      <c r="R160" s="30"/>
      <c r="S160" s="75" t="s">
        <v>58</v>
      </c>
      <c r="T160" s="76">
        <v>9.4781919717359155</v>
      </c>
      <c r="U160" s="77">
        <v>30</v>
      </c>
      <c r="V160" s="77">
        <v>284.34575915207745</v>
      </c>
      <c r="W160" s="30"/>
      <c r="X160" s="75" t="s">
        <v>58</v>
      </c>
      <c r="Y160" s="76">
        <v>4.3607397692567815</v>
      </c>
      <c r="Z160" s="77">
        <v>30</v>
      </c>
      <c r="AA160" s="77">
        <v>130.82219307770345</v>
      </c>
      <c r="AB160" s="74"/>
      <c r="AC160" s="46">
        <f>[1]Calc!$B$31/[1]Calc!$B$47</f>
        <v>0.19996358716934984</v>
      </c>
      <c r="AD160" s="75"/>
      <c r="AE160" s="76"/>
      <c r="AF160" s="77"/>
      <c r="AG160" s="77">
        <f>AC160*1932.786</f>
        <v>386.48682179069903</v>
      </c>
      <c r="AH160" s="32" t="e">
        <f>[1]Calc!$C$31/[1]Calc!$C$47</f>
        <v>#DIV/0!</v>
      </c>
      <c r="AI160" s="75"/>
      <c r="AJ160" s="76"/>
      <c r="AK160" s="77"/>
      <c r="AL160" s="77"/>
      <c r="AM160" s="32" t="e">
        <f>[1]Calc!$D$31/[1]Calc!$D$47</f>
        <v>#DIV/0!</v>
      </c>
      <c r="AN160" s="75"/>
      <c r="AO160" s="76"/>
      <c r="AP160" s="77"/>
      <c r="AQ160" s="77"/>
      <c r="AR160" s="32" t="e">
        <f>[1]Calc!$E$31/[1]Calc!$E$47</f>
        <v>#DIV/0!</v>
      </c>
      <c r="AS160" s="75"/>
      <c r="AT160" s="76"/>
      <c r="AU160" s="77"/>
      <c r="AV160" s="77"/>
      <c r="AW160" s="30"/>
      <c r="AX160" s="75"/>
      <c r="AY160" s="44"/>
      <c r="AZ160" s="80"/>
      <c r="BA160" s="77">
        <f>AG160+AL160+AQ160+AV160</f>
        <v>386.48682179069903</v>
      </c>
      <c r="BB160" s="9"/>
    </row>
    <row r="161" spans="1:54" x14ac:dyDescent="0.35">
      <c r="A161" s="54"/>
      <c r="B161" s="73" t="s">
        <v>180</v>
      </c>
      <c r="C161" s="74"/>
      <c r="D161" s="75"/>
      <c r="E161" s="76"/>
      <c r="F161" s="77"/>
      <c r="G161" s="77"/>
      <c r="H161" s="74"/>
      <c r="I161" s="75"/>
      <c r="J161" s="76"/>
      <c r="K161" s="77"/>
      <c r="L161" s="77"/>
      <c r="M161" s="30"/>
      <c r="N161" s="75"/>
      <c r="O161" s="76"/>
      <c r="P161" s="77"/>
      <c r="Q161" s="77"/>
      <c r="R161" s="30"/>
      <c r="S161" s="75"/>
      <c r="T161" s="76"/>
      <c r="U161" s="77"/>
      <c r="V161" s="77"/>
      <c r="W161" s="30"/>
      <c r="X161" s="75"/>
      <c r="Y161" s="76"/>
      <c r="Z161" s="77"/>
      <c r="AA161" s="77"/>
      <c r="AB161" s="74"/>
      <c r="AC161" s="46"/>
      <c r="AD161" s="75"/>
      <c r="AE161" s="76"/>
      <c r="AF161" s="77"/>
      <c r="AG161" s="77"/>
      <c r="AH161" s="32" t="e">
        <f>[1]Calc!$C$31/[1]Calc!$C$47</f>
        <v>#DIV/0!</v>
      </c>
      <c r="AI161" s="75"/>
      <c r="AJ161" s="76"/>
      <c r="AK161" s="77"/>
      <c r="AL161" s="77"/>
      <c r="AM161" s="32" t="e">
        <f>[1]Calc!$D$31/[1]Calc!$D$47</f>
        <v>#DIV/0!</v>
      </c>
      <c r="AN161" s="75"/>
      <c r="AO161" s="76"/>
      <c r="AP161" s="77"/>
      <c r="AQ161" s="77"/>
      <c r="AR161" s="32" t="e">
        <f>[1]Calc!$E$31/[1]Calc!$E$47</f>
        <v>#DIV/0!</v>
      </c>
      <c r="AS161" s="75"/>
      <c r="AT161" s="76"/>
      <c r="AU161" s="77"/>
      <c r="AV161" s="77"/>
      <c r="AW161" s="30"/>
      <c r="AX161" s="75"/>
      <c r="AY161" s="76"/>
      <c r="AZ161" s="77"/>
      <c r="BA161" s="77"/>
      <c r="BB161" s="9"/>
    </row>
    <row r="162" spans="1:54" x14ac:dyDescent="0.35">
      <c r="A162" s="54"/>
      <c r="B162" s="92" t="s">
        <v>181</v>
      </c>
      <c r="C162" s="74" t="s">
        <v>27</v>
      </c>
      <c r="D162" s="75" t="s">
        <v>56</v>
      </c>
      <c r="E162" s="44">
        <v>104.79390618471746</v>
      </c>
      <c r="F162" s="80">
        <v>19</v>
      </c>
      <c r="G162" s="77">
        <v>1991.0842175096318</v>
      </c>
      <c r="H162" s="74"/>
      <c r="I162" s="176" t="s">
        <v>56</v>
      </c>
      <c r="J162" s="76">
        <v>43.526951572623076</v>
      </c>
      <c r="K162" s="177">
        <v>19</v>
      </c>
      <c r="L162" s="177">
        <v>827.01207987983844</v>
      </c>
      <c r="M162" s="178"/>
      <c r="N162" s="176" t="s">
        <v>56</v>
      </c>
      <c r="O162" s="76">
        <v>15.598479866818483</v>
      </c>
      <c r="P162" s="179">
        <v>19</v>
      </c>
      <c r="Q162" s="177">
        <v>296.37111746955117</v>
      </c>
      <c r="R162" s="30"/>
      <c r="S162" s="176" t="s">
        <v>56</v>
      </c>
      <c r="T162" s="76">
        <v>31.278033506728523</v>
      </c>
      <c r="U162" s="179">
        <v>19</v>
      </c>
      <c r="V162" s="177">
        <v>594.28263662784195</v>
      </c>
      <c r="W162" s="30"/>
      <c r="X162" s="176" t="s">
        <v>56</v>
      </c>
      <c r="Y162" s="76">
        <v>14.390441238547378</v>
      </c>
      <c r="Z162" s="179">
        <v>19</v>
      </c>
      <c r="AA162" s="177">
        <v>273.41838353240018</v>
      </c>
      <c r="AB162" s="74"/>
      <c r="AC162" s="46">
        <f>[1]Calc!$B$31/[1]Calc!$B$47</f>
        <v>0.19996358716934984</v>
      </c>
      <c r="AD162" s="176"/>
      <c r="AE162" s="76"/>
      <c r="AF162" s="177"/>
      <c r="AG162" s="177">
        <f>AC162*1150.982</f>
        <v>230.15448948735261</v>
      </c>
      <c r="AH162" s="32" t="e">
        <f>[1]Calc!$C$31/[1]Calc!$C$47</f>
        <v>#DIV/0!</v>
      </c>
      <c r="AI162" s="176"/>
      <c r="AJ162" s="76"/>
      <c r="AK162" s="179"/>
      <c r="AL162" s="177"/>
      <c r="AM162" s="32" t="e">
        <f>[1]Calc!$D$31/[1]Calc!$D$47</f>
        <v>#DIV/0!</v>
      </c>
      <c r="AN162" s="176"/>
      <c r="AO162" s="76"/>
      <c r="AP162" s="179"/>
      <c r="AQ162" s="177"/>
      <c r="AR162" s="32" t="e">
        <f>[1]Calc!$E$31/[1]Calc!$E$47</f>
        <v>#DIV/0!</v>
      </c>
      <c r="AS162" s="176"/>
      <c r="AT162" s="76"/>
      <c r="AU162" s="179"/>
      <c r="AV162" s="177"/>
      <c r="AW162" s="30"/>
      <c r="AX162" s="75"/>
      <c r="AY162" s="44"/>
      <c r="AZ162" s="80"/>
      <c r="BA162" s="77">
        <f>AG162+AL162+AQ162+AV162</f>
        <v>230.15448948735261</v>
      </c>
      <c r="BB162" s="9"/>
    </row>
    <row r="163" spans="1:54" x14ac:dyDescent="0.35">
      <c r="A163" s="54"/>
      <c r="B163" s="92" t="s">
        <v>182</v>
      </c>
      <c r="C163" s="74" t="s">
        <v>27</v>
      </c>
      <c r="D163" s="75" t="s">
        <v>58</v>
      </c>
      <c r="E163" s="44">
        <v>69.862604123144976</v>
      </c>
      <c r="F163" s="80">
        <v>29.999999999999996</v>
      </c>
      <c r="G163" s="77">
        <v>2095.8781236943491</v>
      </c>
      <c r="H163" s="74"/>
      <c r="I163" s="176" t="s">
        <v>58</v>
      </c>
      <c r="J163" s="76">
        <v>29.017967715082051</v>
      </c>
      <c r="K163" s="177">
        <v>30</v>
      </c>
      <c r="L163" s="177">
        <v>870.53903145246159</v>
      </c>
      <c r="M163" s="178"/>
      <c r="N163" s="176" t="s">
        <v>58</v>
      </c>
      <c r="O163" s="76">
        <v>10.398986577878988</v>
      </c>
      <c r="P163" s="179">
        <v>30</v>
      </c>
      <c r="Q163" s="177">
        <v>311.96959733636965</v>
      </c>
      <c r="R163" s="30"/>
      <c r="S163" s="176" t="s">
        <v>58</v>
      </c>
      <c r="T163" s="76">
        <v>20.852022337819015</v>
      </c>
      <c r="U163" s="179">
        <v>30</v>
      </c>
      <c r="V163" s="177">
        <v>625.5606701345705</v>
      </c>
      <c r="W163" s="30"/>
      <c r="X163" s="176" t="s">
        <v>58</v>
      </c>
      <c r="Y163" s="76">
        <v>9.5936274923649183</v>
      </c>
      <c r="Z163" s="179">
        <v>30</v>
      </c>
      <c r="AA163" s="177">
        <v>287.80882477094752</v>
      </c>
      <c r="AB163" s="74"/>
      <c r="AC163" s="46">
        <f>[1]Calc!$B$31/[1]Calc!$B$47</f>
        <v>0.19996358716934984</v>
      </c>
      <c r="AD163" s="176"/>
      <c r="AE163" s="76"/>
      <c r="AF163" s="177"/>
      <c r="AG163" s="177">
        <f>AC163*1607.584</f>
        <v>321.45826331605213</v>
      </c>
      <c r="AH163" s="32" t="e">
        <f>[1]Calc!$C$31/[1]Calc!$C$47</f>
        <v>#DIV/0!</v>
      </c>
      <c r="AI163" s="176"/>
      <c r="AJ163" s="76"/>
      <c r="AK163" s="179"/>
      <c r="AL163" s="177"/>
      <c r="AM163" s="32" t="e">
        <f>[1]Calc!$D$31/[1]Calc!$D$47</f>
        <v>#DIV/0!</v>
      </c>
      <c r="AN163" s="176"/>
      <c r="AO163" s="76"/>
      <c r="AP163" s="179"/>
      <c r="AQ163" s="177"/>
      <c r="AR163" s="32" t="e">
        <f>[1]Calc!$E$31/[1]Calc!$E$47</f>
        <v>#DIV/0!</v>
      </c>
      <c r="AS163" s="176"/>
      <c r="AT163" s="76"/>
      <c r="AU163" s="179"/>
      <c r="AV163" s="177"/>
      <c r="AW163" s="30"/>
      <c r="AX163" s="75"/>
      <c r="AY163" s="44"/>
      <c r="AZ163" s="80"/>
      <c r="BA163" s="77">
        <f>AG163+AL163+AQ163+AV163</f>
        <v>321.45826331605213</v>
      </c>
      <c r="BB163" s="9"/>
    </row>
    <row r="164" spans="1:54" x14ac:dyDescent="0.35">
      <c r="A164" s="54"/>
      <c r="B164" s="55"/>
      <c r="C164" s="42"/>
      <c r="D164" s="43"/>
      <c r="E164" s="44"/>
      <c r="F164" s="89"/>
      <c r="G164" s="77"/>
      <c r="H164" s="42"/>
      <c r="I164" s="43"/>
      <c r="J164" s="44"/>
      <c r="K164" s="89"/>
      <c r="L164" s="77"/>
      <c r="M164" s="30"/>
      <c r="N164" s="43"/>
      <c r="O164" s="44"/>
      <c r="P164" s="89"/>
      <c r="Q164" s="77"/>
      <c r="R164" s="30"/>
      <c r="S164" s="43"/>
      <c r="T164" s="44"/>
      <c r="U164" s="89"/>
      <c r="V164" s="77"/>
      <c r="W164" s="30"/>
      <c r="X164" s="43"/>
      <c r="Y164" s="44"/>
      <c r="Z164" s="89"/>
      <c r="AA164" s="77"/>
      <c r="AB164" s="42"/>
      <c r="AC164" s="46"/>
      <c r="AD164" s="43"/>
      <c r="AE164" s="44"/>
      <c r="AF164" s="89"/>
      <c r="AG164" s="77"/>
      <c r="AH164" s="32"/>
      <c r="AI164" s="43"/>
      <c r="AJ164" s="44"/>
      <c r="AK164" s="89"/>
      <c r="AL164" s="77"/>
      <c r="AM164" s="32"/>
      <c r="AN164" s="43"/>
      <c r="AO164" s="44"/>
      <c r="AP164" s="89"/>
      <c r="AQ164" s="77"/>
      <c r="AR164" s="32"/>
      <c r="AS164" s="43"/>
      <c r="AT164" s="44"/>
      <c r="AU164" s="89"/>
      <c r="AV164" s="77"/>
      <c r="AW164" s="30"/>
      <c r="AX164" s="43"/>
      <c r="AY164" s="44"/>
      <c r="AZ164" s="89"/>
      <c r="BA164" s="77"/>
      <c r="BB164" s="9"/>
    </row>
    <row r="165" spans="1:54" ht="29" x14ac:dyDescent="0.35">
      <c r="A165" s="54"/>
      <c r="B165" s="180" t="s">
        <v>183</v>
      </c>
      <c r="C165" s="42"/>
      <c r="D165" s="43"/>
      <c r="E165" s="44"/>
      <c r="F165" s="89"/>
      <c r="G165" s="77"/>
      <c r="H165" s="42"/>
      <c r="I165" s="43"/>
      <c r="J165" s="44"/>
      <c r="K165" s="89"/>
      <c r="L165" s="77"/>
      <c r="M165" s="30"/>
      <c r="N165" s="43"/>
      <c r="O165" s="44"/>
      <c r="P165" s="89"/>
      <c r="Q165" s="77"/>
      <c r="R165" s="30"/>
      <c r="S165" s="43"/>
      <c r="T165" s="44"/>
      <c r="U165" s="89"/>
      <c r="V165" s="77"/>
      <c r="W165" s="30"/>
      <c r="X165" s="43"/>
      <c r="Y165" s="44"/>
      <c r="Z165" s="89"/>
      <c r="AA165" s="77"/>
      <c r="AB165" s="42"/>
      <c r="AC165" s="46"/>
      <c r="AD165" s="43"/>
      <c r="AE165" s="44"/>
      <c r="AF165" s="89"/>
      <c r="AG165" s="77"/>
      <c r="AH165" s="32"/>
      <c r="AI165" s="43"/>
      <c r="AJ165" s="44"/>
      <c r="AK165" s="89"/>
      <c r="AL165" s="77"/>
      <c r="AM165" s="32"/>
      <c r="AN165" s="43"/>
      <c r="AO165" s="44"/>
      <c r="AP165" s="89"/>
      <c r="AQ165" s="77"/>
      <c r="AR165" s="32"/>
      <c r="AS165" s="43"/>
      <c r="AT165" s="44"/>
      <c r="AU165" s="89"/>
      <c r="AV165" s="77"/>
      <c r="AW165" s="30"/>
      <c r="AX165" s="43"/>
      <c r="AY165" s="44"/>
      <c r="AZ165" s="89"/>
      <c r="BA165" s="77"/>
      <c r="BB165" s="9"/>
    </row>
    <row r="166" spans="1:54" x14ac:dyDescent="0.35">
      <c r="A166" s="54"/>
      <c r="B166" s="55"/>
      <c r="C166" s="42"/>
      <c r="D166" s="43"/>
      <c r="E166" s="44"/>
      <c r="F166" s="89"/>
      <c r="G166" s="77"/>
      <c r="H166" s="42"/>
      <c r="I166" s="43"/>
      <c r="J166" s="44"/>
      <c r="K166" s="89"/>
      <c r="L166" s="77"/>
      <c r="M166" s="30"/>
      <c r="N166" s="43"/>
      <c r="O166" s="44"/>
      <c r="P166" s="89"/>
      <c r="Q166" s="77"/>
      <c r="R166" s="30"/>
      <c r="S166" s="43"/>
      <c r="T166" s="44"/>
      <c r="U166" s="89"/>
      <c r="V166" s="77"/>
      <c r="W166" s="30"/>
      <c r="X166" s="43"/>
      <c r="Y166" s="44"/>
      <c r="Z166" s="89"/>
      <c r="AA166" s="77"/>
      <c r="AB166" s="42"/>
      <c r="AC166" s="46"/>
      <c r="AD166" s="43"/>
      <c r="AE166" s="44"/>
      <c r="AF166" s="89"/>
      <c r="AG166" s="77"/>
      <c r="AH166" s="32"/>
      <c r="AI166" s="43"/>
      <c r="AJ166" s="44"/>
      <c r="AK166" s="89"/>
      <c r="AL166" s="77"/>
      <c r="AM166" s="32"/>
      <c r="AN166" s="43"/>
      <c r="AO166" s="44"/>
      <c r="AP166" s="89"/>
      <c r="AQ166" s="77"/>
      <c r="AR166" s="32"/>
      <c r="AS166" s="43"/>
      <c r="AT166" s="44"/>
      <c r="AU166" s="89"/>
      <c r="AV166" s="77"/>
      <c r="AW166" s="30"/>
      <c r="AX166" s="43"/>
      <c r="AY166" s="44"/>
      <c r="AZ166" s="89"/>
      <c r="BA166" s="77"/>
      <c r="BB166" s="9"/>
    </row>
    <row r="167" spans="1:54" x14ac:dyDescent="0.35">
      <c r="A167" s="54"/>
      <c r="B167" s="181" t="s">
        <v>184</v>
      </c>
      <c r="C167" s="74" t="s">
        <v>27</v>
      </c>
      <c r="D167" s="75" t="s">
        <v>185</v>
      </c>
      <c r="E167" s="44">
        <v>0.98924889937779714</v>
      </c>
      <c r="F167" s="80">
        <v>609.79606894964149</v>
      </c>
      <c r="G167" s="77">
        <v>603.24009005334017</v>
      </c>
      <c r="H167" s="74"/>
      <c r="I167" s="75" t="s">
        <v>185</v>
      </c>
      <c r="J167" s="76">
        <v>0.98924889937779714</v>
      </c>
      <c r="K167" s="89">
        <v>609.79606894964149</v>
      </c>
      <c r="L167" s="77">
        <v>603.24009005334017</v>
      </c>
      <c r="M167" s="30"/>
      <c r="N167" s="75"/>
      <c r="O167" s="76"/>
      <c r="P167" s="89"/>
      <c r="Q167" s="77"/>
      <c r="R167" s="30"/>
      <c r="S167" s="75"/>
      <c r="T167" s="76"/>
      <c r="U167" s="89"/>
      <c r="V167" s="77"/>
      <c r="W167" s="30"/>
      <c r="X167" s="75"/>
      <c r="Y167" s="76"/>
      <c r="Z167" s="89"/>
      <c r="AA167" s="77"/>
      <c r="AB167" s="74"/>
      <c r="AC167" s="46">
        <f>[1]Calc!$B$31/[1]Calc!$B$47</f>
        <v>0.19996358716934984</v>
      </c>
      <c r="AD167" s="75"/>
      <c r="AE167" s="76"/>
      <c r="AF167" s="89"/>
      <c r="AG167" s="77">
        <f>AC167*646.081</f>
        <v>129.19267436196071</v>
      </c>
      <c r="AH167" s="32" t="e">
        <f>[1]Calc!$C$31/[1]Calc!$C$47</f>
        <v>#DIV/0!</v>
      </c>
      <c r="AI167" s="75"/>
      <c r="AJ167" s="76"/>
      <c r="AK167" s="89"/>
      <c r="AL167" s="77"/>
      <c r="AM167" s="32" t="e">
        <f>[1]Calc!$D$31/[1]Calc!$D$47</f>
        <v>#DIV/0!</v>
      </c>
      <c r="AN167" s="75"/>
      <c r="AO167" s="76"/>
      <c r="AP167" s="89"/>
      <c r="AQ167" s="77"/>
      <c r="AR167" s="32" t="e">
        <f>[1]Calc!$E$31/[1]Calc!$E$47</f>
        <v>#DIV/0!</v>
      </c>
      <c r="AS167" s="75"/>
      <c r="AT167" s="76"/>
      <c r="AU167" s="89"/>
      <c r="AV167" s="77"/>
      <c r="AW167" s="30"/>
      <c r="AX167" s="75"/>
      <c r="AY167" s="44"/>
      <c r="AZ167" s="80"/>
      <c r="BA167" s="77">
        <f>AG167+AL167+AQ167+AV167</f>
        <v>129.19267436196071</v>
      </c>
      <c r="BB167" s="9"/>
    </row>
    <row r="168" spans="1:54" x14ac:dyDescent="0.35">
      <c r="A168" s="54"/>
      <c r="B168" s="182" t="s">
        <v>186</v>
      </c>
      <c r="C168" s="74" t="s">
        <v>27</v>
      </c>
      <c r="D168" s="75" t="s">
        <v>187</v>
      </c>
      <c r="E168" s="44">
        <v>0.98924889937779714</v>
      </c>
      <c r="F168" s="80">
        <v>609.79606894964149</v>
      </c>
      <c r="G168" s="77">
        <v>603.24009005334017</v>
      </c>
      <c r="H168" s="74"/>
      <c r="I168" s="75" t="s">
        <v>187</v>
      </c>
      <c r="J168" s="76">
        <v>0.98924889937779714</v>
      </c>
      <c r="K168" s="89">
        <v>609.79606894964149</v>
      </c>
      <c r="L168" s="77">
        <v>603.24009005334017</v>
      </c>
      <c r="M168" s="30"/>
      <c r="N168" s="75"/>
      <c r="O168" s="76"/>
      <c r="P168" s="89"/>
      <c r="Q168" s="77"/>
      <c r="R168" s="30"/>
      <c r="S168" s="75"/>
      <c r="T168" s="76"/>
      <c r="U168" s="89"/>
      <c r="V168" s="77"/>
      <c r="W168" s="30"/>
      <c r="X168" s="75"/>
      <c r="Y168" s="76"/>
      <c r="Z168" s="89"/>
      <c r="AA168" s="77"/>
      <c r="AB168" s="74"/>
      <c r="AC168" s="46">
        <f>[1]Calc!$B$31/[1]Calc!$B$47</f>
        <v>0.19996358716934984</v>
      </c>
      <c r="AD168" s="75"/>
      <c r="AE168" s="76"/>
      <c r="AF168" s="89"/>
      <c r="AG168" s="77">
        <f>AC168*3950.724</f>
        <v>790.00094295604254</v>
      </c>
      <c r="AH168" s="32" t="e">
        <f>[1]Calc!$C$31/[1]Calc!$C$47</f>
        <v>#DIV/0!</v>
      </c>
      <c r="AI168" s="75"/>
      <c r="AJ168" s="76"/>
      <c r="AK168" s="89"/>
      <c r="AL168" s="77"/>
      <c r="AM168" s="32" t="e">
        <f>[1]Calc!$D$31/[1]Calc!$D$47</f>
        <v>#DIV/0!</v>
      </c>
      <c r="AN168" s="75"/>
      <c r="AO168" s="76"/>
      <c r="AP168" s="89"/>
      <c r="AQ168" s="77"/>
      <c r="AR168" s="32" t="e">
        <f>[1]Calc!$E$31/[1]Calc!$E$47</f>
        <v>#DIV/0!</v>
      </c>
      <c r="AS168" s="75"/>
      <c r="AT168" s="76"/>
      <c r="AU168" s="89"/>
      <c r="AV168" s="77"/>
      <c r="AW168" s="30"/>
      <c r="AX168" s="75"/>
      <c r="AY168" s="44"/>
      <c r="AZ168" s="80"/>
      <c r="BA168" s="77">
        <f t="shared" ref="BA168:BA173" si="7">AG168+AL168+AQ168+AV168</f>
        <v>790.00094295604254</v>
      </c>
      <c r="BB168" s="9"/>
    </row>
    <row r="169" spans="1:54" x14ac:dyDescent="0.35">
      <c r="A169" s="54"/>
      <c r="B169" s="181" t="s">
        <v>188</v>
      </c>
      <c r="C169" s="74" t="s">
        <v>27</v>
      </c>
      <c r="D169" s="75" t="s">
        <v>189</v>
      </c>
      <c r="E169" s="44">
        <v>0.32974963312593236</v>
      </c>
      <c r="F169" s="80">
        <v>4263.9803447482072</v>
      </c>
      <c r="G169" s="77">
        <v>1406.0459543369079</v>
      </c>
      <c r="H169" s="74"/>
      <c r="I169" s="75" t="s">
        <v>189</v>
      </c>
      <c r="J169" s="76">
        <v>0.32974963312593236</v>
      </c>
      <c r="K169" s="89">
        <v>4263.9803447482072</v>
      </c>
      <c r="L169" s="77">
        <v>1406.0459543369079</v>
      </c>
      <c r="M169" s="30"/>
      <c r="N169" s="75"/>
      <c r="O169" s="76"/>
      <c r="P169" s="89"/>
      <c r="Q169" s="77"/>
      <c r="R169" s="30"/>
      <c r="S169" s="75"/>
      <c r="T169" s="76"/>
      <c r="U169" s="89"/>
      <c r="V169" s="77"/>
      <c r="W169" s="30"/>
      <c r="X169" s="75"/>
      <c r="Y169" s="76"/>
      <c r="Z169" s="89"/>
      <c r="AA169" s="77"/>
      <c r="AB169" s="74"/>
      <c r="AC169" s="46">
        <f>[1]Calc!$B$31/[1]Calc!$B$47</f>
        <v>0.19996358716934984</v>
      </c>
      <c r="AD169" s="75"/>
      <c r="AE169" s="76"/>
      <c r="AF169" s="89"/>
      <c r="AG169" s="77">
        <f>AC169*4114.531</f>
        <v>822.7563782794922</v>
      </c>
      <c r="AH169" s="32" t="e">
        <f>[1]Calc!$C$31/[1]Calc!$C$47</f>
        <v>#DIV/0!</v>
      </c>
      <c r="AI169" s="75"/>
      <c r="AJ169" s="76"/>
      <c r="AK169" s="89"/>
      <c r="AL169" s="77"/>
      <c r="AM169" s="32" t="e">
        <f>[1]Calc!$D$31/[1]Calc!$D$47</f>
        <v>#DIV/0!</v>
      </c>
      <c r="AN169" s="75"/>
      <c r="AO169" s="76"/>
      <c r="AP169" s="89"/>
      <c r="AQ169" s="77"/>
      <c r="AR169" s="32" t="e">
        <f>[1]Calc!$E$31/[1]Calc!$E$47</f>
        <v>#DIV/0!</v>
      </c>
      <c r="AS169" s="75"/>
      <c r="AT169" s="76"/>
      <c r="AU169" s="89"/>
      <c r="AV169" s="77"/>
      <c r="AW169" s="30"/>
      <c r="AX169" s="75"/>
      <c r="AY169" s="44"/>
      <c r="AZ169" s="80"/>
      <c r="BA169" s="77">
        <f t="shared" si="7"/>
        <v>822.7563782794922</v>
      </c>
      <c r="BB169" s="9"/>
    </row>
    <row r="170" spans="1:54" x14ac:dyDescent="0.35">
      <c r="A170" s="54"/>
      <c r="B170" s="181" t="s">
        <v>190</v>
      </c>
      <c r="C170" s="74" t="s">
        <v>27</v>
      </c>
      <c r="D170" s="75" t="s">
        <v>189</v>
      </c>
      <c r="E170" s="44">
        <v>0.32974963312593236</v>
      </c>
      <c r="F170" s="80">
        <v>6097.9606894964154</v>
      </c>
      <c r="G170" s="77">
        <v>2010.8003001778006</v>
      </c>
      <c r="H170" s="74"/>
      <c r="I170" s="75" t="s">
        <v>189</v>
      </c>
      <c r="J170" s="76">
        <v>0.32974963312593236</v>
      </c>
      <c r="K170" s="89">
        <v>6097.9606894964154</v>
      </c>
      <c r="L170" s="77">
        <v>2010.8003001778006</v>
      </c>
      <c r="M170" s="30"/>
      <c r="N170" s="75"/>
      <c r="O170" s="76"/>
      <c r="P170" s="89"/>
      <c r="Q170" s="77"/>
      <c r="R170" s="30"/>
      <c r="S170" s="75"/>
      <c r="T170" s="76"/>
      <c r="U170" s="89"/>
      <c r="V170" s="77"/>
      <c r="W170" s="30"/>
      <c r="X170" s="75"/>
      <c r="Y170" s="76"/>
      <c r="Z170" s="89"/>
      <c r="AA170" s="77"/>
      <c r="AB170" s="74"/>
      <c r="AC170" s="46">
        <f>[1]Calc!$B$31/[1]Calc!$B$47</f>
        <v>0.19996358716934984</v>
      </c>
      <c r="AD170" s="75"/>
      <c r="AE170" s="76"/>
      <c r="AF170" s="89"/>
      <c r="AG170" s="77">
        <f>AC170*6605.755</f>
        <v>1320.9104657618686</v>
      </c>
      <c r="AH170" s="32" t="e">
        <f>[1]Calc!$C$31/[1]Calc!$C$47</f>
        <v>#DIV/0!</v>
      </c>
      <c r="AI170" s="75"/>
      <c r="AJ170" s="76"/>
      <c r="AK170" s="89"/>
      <c r="AL170" s="77"/>
      <c r="AM170" s="32" t="e">
        <f>[1]Calc!$D$31/[1]Calc!$D$47</f>
        <v>#DIV/0!</v>
      </c>
      <c r="AN170" s="75"/>
      <c r="AO170" s="76"/>
      <c r="AP170" s="89"/>
      <c r="AQ170" s="77"/>
      <c r="AR170" s="32" t="e">
        <f>[1]Calc!$E$31/[1]Calc!$E$47</f>
        <v>#DIV/0!</v>
      </c>
      <c r="AS170" s="75"/>
      <c r="AT170" s="76"/>
      <c r="AU170" s="89"/>
      <c r="AV170" s="77"/>
      <c r="AW170" s="30"/>
      <c r="AX170" s="75"/>
      <c r="AY170" s="44"/>
      <c r="AZ170" s="80"/>
      <c r="BA170" s="77">
        <f t="shared" si="7"/>
        <v>1320.9104657618686</v>
      </c>
      <c r="BB170" s="9"/>
    </row>
    <row r="171" spans="1:54" x14ac:dyDescent="0.35">
      <c r="A171" s="54"/>
      <c r="B171" s="181" t="s">
        <v>191</v>
      </c>
      <c r="C171" s="74" t="s">
        <v>27</v>
      </c>
      <c r="D171" s="75" t="s">
        <v>192</v>
      </c>
      <c r="E171" s="44">
        <v>0.32974963312593236</v>
      </c>
      <c r="F171" s="80">
        <v>4573.4705171223113</v>
      </c>
      <c r="G171" s="77">
        <v>1508.1002251333502</v>
      </c>
      <c r="H171" s="74"/>
      <c r="I171" s="75" t="s">
        <v>192</v>
      </c>
      <c r="J171" s="76">
        <v>0.32974963312593236</v>
      </c>
      <c r="K171" s="89">
        <v>4573.4705171223113</v>
      </c>
      <c r="L171" s="77">
        <v>1508.1002251333502</v>
      </c>
      <c r="M171" s="30"/>
      <c r="N171" s="75"/>
      <c r="O171" s="76"/>
      <c r="P171" s="89"/>
      <c r="Q171" s="77"/>
      <c r="R171" s="30"/>
      <c r="S171" s="75"/>
      <c r="T171" s="76"/>
      <c r="U171" s="89"/>
      <c r="V171" s="77"/>
      <c r="W171" s="30"/>
      <c r="X171" s="75"/>
      <c r="Y171" s="76"/>
      <c r="Z171" s="89"/>
      <c r="AA171" s="77"/>
      <c r="AB171" s="74"/>
      <c r="AC171" s="46">
        <f>[1]Calc!$B$31/[1]Calc!$B$47</f>
        <v>0.19996358716934984</v>
      </c>
      <c r="AD171" s="75"/>
      <c r="AE171" s="76"/>
      <c r="AF171" s="89"/>
      <c r="AG171" s="77">
        <f>AC171*6202.684</f>
        <v>1240.3109427179315</v>
      </c>
      <c r="AH171" s="32" t="e">
        <f>[1]Calc!$C$31/[1]Calc!$C$47</f>
        <v>#DIV/0!</v>
      </c>
      <c r="AI171" s="75"/>
      <c r="AJ171" s="76"/>
      <c r="AK171" s="89"/>
      <c r="AL171" s="77"/>
      <c r="AM171" s="32" t="e">
        <f>[1]Calc!$D$31/[1]Calc!$D$47</f>
        <v>#DIV/0!</v>
      </c>
      <c r="AN171" s="75"/>
      <c r="AO171" s="76"/>
      <c r="AP171" s="89"/>
      <c r="AQ171" s="77"/>
      <c r="AR171" s="32" t="e">
        <f>[1]Calc!$E$31/[1]Calc!$E$47</f>
        <v>#DIV/0!</v>
      </c>
      <c r="AS171" s="75"/>
      <c r="AT171" s="76"/>
      <c r="AU171" s="89"/>
      <c r="AV171" s="77"/>
      <c r="AW171" s="30"/>
      <c r="AX171" s="75"/>
      <c r="AY171" s="44"/>
      <c r="AZ171" s="80"/>
      <c r="BA171" s="77">
        <f t="shared" si="7"/>
        <v>1240.3109427179315</v>
      </c>
      <c r="BB171" s="9"/>
    </row>
    <row r="172" spans="1:54" x14ac:dyDescent="0.35">
      <c r="A172" s="54"/>
      <c r="B172" s="183" t="s">
        <v>193</v>
      </c>
      <c r="C172" s="87" t="s">
        <v>27</v>
      </c>
      <c r="D172" s="75" t="s">
        <v>194</v>
      </c>
      <c r="E172" s="44">
        <v>0.79389322867210188</v>
      </c>
      <c r="F172" s="80">
        <v>548.81646205467746</v>
      </c>
      <c r="G172" s="77">
        <v>435.70167300898794</v>
      </c>
      <c r="H172" s="87"/>
      <c r="I172" s="75" t="s">
        <v>194</v>
      </c>
      <c r="J172" s="184">
        <v>0.32974963312593236</v>
      </c>
      <c r="K172" s="147">
        <v>548.81646205467734</v>
      </c>
      <c r="L172" s="77">
        <v>180.97202701600204</v>
      </c>
      <c r="M172" s="30"/>
      <c r="N172" s="75" t="s">
        <v>194</v>
      </c>
      <c r="O172" s="184">
        <v>0.11817030202135215</v>
      </c>
      <c r="P172" s="147">
        <v>548.81646205467734</v>
      </c>
      <c r="Q172" s="77">
        <v>64.853807075291172</v>
      </c>
      <c r="R172" s="30"/>
      <c r="S172" s="75" t="s">
        <v>194</v>
      </c>
      <c r="T172" s="184">
        <v>0.23695479929339788</v>
      </c>
      <c r="U172" s="147">
        <v>548.81646205467734</v>
      </c>
      <c r="V172" s="77">
        <v>130.04469461507878</v>
      </c>
      <c r="W172" s="30"/>
      <c r="X172" s="75" t="s">
        <v>194</v>
      </c>
      <c r="Y172" s="184">
        <v>0.10901849423141953</v>
      </c>
      <c r="Z172" s="147">
        <v>548.81646205467734</v>
      </c>
      <c r="AA172" s="77">
        <v>59.831144302615918</v>
      </c>
      <c r="AB172" s="87"/>
      <c r="AC172" s="46">
        <f>[1]Calc!$B$31/[1]Calc!$B$47</f>
        <v>0.19996358716934984</v>
      </c>
      <c r="AD172" s="75"/>
      <c r="AE172" s="184"/>
      <c r="AF172" s="147"/>
      <c r="AG172" s="77">
        <f>AC172*304.9</f>
        <v>60.96889772793476</v>
      </c>
      <c r="AH172" s="32" t="e">
        <f>[1]Calc!$C$31/[1]Calc!$C$47</f>
        <v>#DIV/0!</v>
      </c>
      <c r="AI172" s="75"/>
      <c r="AJ172" s="184"/>
      <c r="AK172" s="147"/>
      <c r="AL172" s="77"/>
      <c r="AM172" s="32" t="e">
        <f>[1]Calc!$D$31/[1]Calc!$D$47</f>
        <v>#DIV/0!</v>
      </c>
      <c r="AN172" s="75"/>
      <c r="AO172" s="184"/>
      <c r="AP172" s="147"/>
      <c r="AQ172" s="77"/>
      <c r="AR172" s="32" t="e">
        <f>[1]Calc!$E$31/[1]Calc!$E$47</f>
        <v>#DIV/0!</v>
      </c>
      <c r="AS172" s="75"/>
      <c r="AT172" s="184"/>
      <c r="AU172" s="147"/>
      <c r="AV172" s="77"/>
      <c r="AW172" s="30"/>
      <c r="AX172" s="75"/>
      <c r="AY172" s="44"/>
      <c r="AZ172" s="80"/>
      <c r="BA172" s="77">
        <f t="shared" si="7"/>
        <v>60.96889772793476</v>
      </c>
      <c r="BB172" s="9"/>
    </row>
    <row r="173" spans="1:54" x14ac:dyDescent="0.35">
      <c r="A173" s="54"/>
      <c r="B173" s="181" t="s">
        <v>195</v>
      </c>
      <c r="C173" s="74" t="s">
        <v>27</v>
      </c>
      <c r="D173" s="75" t="s">
        <v>103</v>
      </c>
      <c r="E173" s="44">
        <v>0.32974963312593236</v>
      </c>
      <c r="F173" s="80">
        <v>609.79606894964149</v>
      </c>
      <c r="G173" s="77">
        <v>201.08003001778005</v>
      </c>
      <c r="H173" s="74"/>
      <c r="I173" s="75" t="s">
        <v>103</v>
      </c>
      <c r="J173" s="76">
        <v>0.32974963312593236</v>
      </c>
      <c r="K173" s="89">
        <v>609.79606894964149</v>
      </c>
      <c r="L173" s="77">
        <v>201.08003001778005</v>
      </c>
      <c r="M173" s="30"/>
      <c r="N173" s="75"/>
      <c r="O173" s="76"/>
      <c r="P173" s="89"/>
      <c r="Q173" s="77"/>
      <c r="R173" s="30"/>
      <c r="S173" s="75"/>
      <c r="T173" s="76"/>
      <c r="U173" s="89"/>
      <c r="V173" s="77"/>
      <c r="W173" s="30"/>
      <c r="X173" s="75"/>
      <c r="Y173" s="76"/>
      <c r="Z173" s="89"/>
      <c r="AA173" s="77"/>
      <c r="AB173" s="74"/>
      <c r="AC173" s="46">
        <f>[1]Calc!$B$31/[1]Calc!$B$47</f>
        <v>0.19996358716934984</v>
      </c>
      <c r="AD173" s="75"/>
      <c r="AE173" s="76"/>
      <c r="AF173" s="89"/>
      <c r="AG173" s="77">
        <f>AC173*3923.298</f>
        <v>784.51674161433584</v>
      </c>
      <c r="AH173" s="32" t="e">
        <f>[1]Calc!$C$31/[1]Calc!$C$47</f>
        <v>#DIV/0!</v>
      </c>
      <c r="AI173" s="75"/>
      <c r="AJ173" s="76"/>
      <c r="AK173" s="89"/>
      <c r="AL173" s="77"/>
      <c r="AM173" s="32" t="e">
        <f>[1]Calc!$D$31/[1]Calc!$D$47</f>
        <v>#DIV/0!</v>
      </c>
      <c r="AN173" s="75"/>
      <c r="AO173" s="76"/>
      <c r="AP173" s="89"/>
      <c r="AQ173" s="77"/>
      <c r="AR173" s="32" t="e">
        <f>[1]Calc!$E$31/[1]Calc!$E$47</f>
        <v>#DIV/0!</v>
      </c>
      <c r="AS173" s="75"/>
      <c r="AT173" s="76"/>
      <c r="AU173" s="89"/>
      <c r="AV173" s="77"/>
      <c r="AW173" s="30"/>
      <c r="AX173" s="75"/>
      <c r="AY173" s="44"/>
      <c r="AZ173" s="80"/>
      <c r="BA173" s="77">
        <f t="shared" si="7"/>
        <v>784.51674161433584</v>
      </c>
      <c r="BB173" s="9"/>
    </row>
    <row r="174" spans="1:54" x14ac:dyDescent="0.35">
      <c r="A174" s="54"/>
      <c r="B174" s="55"/>
      <c r="C174" s="42"/>
      <c r="D174" s="43"/>
      <c r="E174" s="44"/>
      <c r="F174" s="89"/>
      <c r="G174" s="89"/>
      <c r="H174" s="42"/>
      <c r="I174" s="43"/>
      <c r="J174" s="44"/>
      <c r="K174" s="89"/>
      <c r="L174" s="89"/>
      <c r="M174" s="30"/>
      <c r="N174" s="43"/>
      <c r="O174" s="44"/>
      <c r="P174" s="89"/>
      <c r="Q174" s="89"/>
      <c r="R174" s="30"/>
      <c r="S174" s="43"/>
      <c r="T174" s="44"/>
      <c r="U174" s="89"/>
      <c r="V174" s="89"/>
      <c r="W174" s="30"/>
      <c r="X174" s="43"/>
      <c r="Y174" s="44"/>
      <c r="Z174" s="89"/>
      <c r="AA174" s="89"/>
      <c r="AB174" s="42"/>
      <c r="AC174" s="46"/>
      <c r="AD174" s="43"/>
      <c r="AE174" s="44"/>
      <c r="AF174" s="89"/>
      <c r="AG174" s="89"/>
      <c r="AH174" s="32"/>
      <c r="AI174" s="43"/>
      <c r="AJ174" s="44"/>
      <c r="AK174" s="89"/>
      <c r="AL174" s="89"/>
      <c r="AM174" s="32"/>
      <c r="AN174" s="43"/>
      <c r="AO174" s="44"/>
      <c r="AP174" s="89"/>
      <c r="AQ174" s="89"/>
      <c r="AR174" s="32"/>
      <c r="AS174" s="43"/>
      <c r="AT174" s="44"/>
      <c r="AU174" s="89"/>
      <c r="AV174" s="89"/>
      <c r="AW174" s="30"/>
      <c r="AX174" s="43"/>
      <c r="AY174" s="44"/>
      <c r="AZ174" s="89"/>
      <c r="BA174" s="89"/>
      <c r="BB174" s="9"/>
    </row>
    <row r="175" spans="1:54" x14ac:dyDescent="0.35">
      <c r="A175" s="54"/>
      <c r="B175" s="55" t="s">
        <v>196</v>
      </c>
      <c r="C175" s="42"/>
      <c r="D175" s="43"/>
      <c r="E175" s="44"/>
      <c r="F175" s="89"/>
      <c r="G175" s="89"/>
      <c r="H175" s="42"/>
      <c r="I175" s="43"/>
      <c r="J175" s="44"/>
      <c r="K175" s="89"/>
      <c r="L175" s="89"/>
      <c r="M175" s="30"/>
      <c r="N175" s="43"/>
      <c r="O175" s="44"/>
      <c r="P175" s="89"/>
      <c r="Q175" s="89"/>
      <c r="R175" s="30"/>
      <c r="S175" s="43"/>
      <c r="T175" s="44"/>
      <c r="U175" s="89"/>
      <c r="V175" s="89"/>
      <c r="W175" s="30"/>
      <c r="X175" s="43"/>
      <c r="Y175" s="44"/>
      <c r="Z175" s="89"/>
      <c r="AA175" s="89"/>
      <c r="AB175" s="42"/>
      <c r="AC175" s="46"/>
      <c r="AD175" s="43"/>
      <c r="AE175" s="44"/>
      <c r="AF175" s="89"/>
      <c r="AG175" s="89"/>
      <c r="AH175" s="32"/>
      <c r="AI175" s="43"/>
      <c r="AJ175" s="44"/>
      <c r="AK175" s="89"/>
      <c r="AL175" s="89"/>
      <c r="AM175" s="32"/>
      <c r="AN175" s="43"/>
      <c r="AO175" s="44"/>
      <c r="AP175" s="89"/>
      <c r="AQ175" s="89"/>
      <c r="AR175" s="32"/>
      <c r="AS175" s="43"/>
      <c r="AT175" s="44"/>
      <c r="AU175" s="89"/>
      <c r="AV175" s="89"/>
      <c r="AW175" s="30"/>
      <c r="AX175" s="43"/>
      <c r="AY175" s="44"/>
      <c r="AZ175" s="89"/>
      <c r="BA175" s="89"/>
      <c r="BB175" s="9"/>
    </row>
    <row r="176" spans="1:54" x14ac:dyDescent="0.35">
      <c r="A176" s="54" t="s">
        <v>197</v>
      </c>
      <c r="B176" s="180" t="s">
        <v>198</v>
      </c>
      <c r="C176" s="33"/>
      <c r="D176" s="43"/>
      <c r="E176" s="44"/>
      <c r="F176" s="56"/>
      <c r="G176" s="56"/>
      <c r="H176" s="33"/>
      <c r="I176" s="43"/>
      <c r="J176" s="44"/>
      <c r="K176" s="56"/>
      <c r="L176" s="56"/>
      <c r="M176" s="30"/>
      <c r="N176" s="43"/>
      <c r="O176" s="44"/>
      <c r="P176" s="56"/>
      <c r="Q176" s="56"/>
      <c r="R176" s="30"/>
      <c r="S176" s="43"/>
      <c r="T176" s="44"/>
      <c r="U176" s="56"/>
      <c r="V176" s="56"/>
      <c r="W176" s="30"/>
      <c r="X176" s="43"/>
      <c r="Y176" s="44"/>
      <c r="Z176" s="56"/>
      <c r="AA176" s="56"/>
      <c r="AB176" s="33"/>
      <c r="AC176" s="185"/>
      <c r="AD176" s="43"/>
      <c r="AE176" s="44"/>
      <c r="AF176" s="56"/>
      <c r="AG176" s="56"/>
      <c r="AH176" s="32"/>
      <c r="AI176" s="43"/>
      <c r="AJ176" s="44"/>
      <c r="AK176" s="56"/>
      <c r="AL176" s="56"/>
      <c r="AM176" s="32"/>
      <c r="AN176" s="43"/>
      <c r="AO176" s="44"/>
      <c r="AP176" s="56"/>
      <c r="AQ176" s="56"/>
      <c r="AR176" s="32"/>
      <c r="AS176" s="43"/>
      <c r="AT176" s="44"/>
      <c r="AU176" s="56"/>
      <c r="AV176" s="56"/>
      <c r="AW176" s="30"/>
      <c r="AX176" s="43"/>
      <c r="AY176" s="44"/>
      <c r="AZ176" s="56"/>
      <c r="BA176" s="56"/>
      <c r="BB176" s="9"/>
    </row>
    <row r="177" spans="1:54" x14ac:dyDescent="0.35">
      <c r="A177" s="186"/>
      <c r="B177" s="187" t="s">
        <v>199</v>
      </c>
      <c r="C177" s="87"/>
      <c r="D177" s="43"/>
      <c r="E177" s="44"/>
      <c r="F177" s="56"/>
      <c r="G177" s="56"/>
      <c r="H177" s="87"/>
      <c r="I177" s="43"/>
      <c r="J177" s="44"/>
      <c r="K177" s="56"/>
      <c r="L177" s="56"/>
      <c r="M177" s="30"/>
      <c r="N177" s="43"/>
      <c r="O177" s="44"/>
      <c r="P177" s="56"/>
      <c r="Q177" s="56"/>
      <c r="R177" s="30"/>
      <c r="S177" s="43"/>
      <c r="T177" s="44"/>
      <c r="U177" s="56"/>
      <c r="V177" s="56"/>
      <c r="W177" s="30"/>
      <c r="X177" s="43"/>
      <c r="Y177" s="44"/>
      <c r="Z177" s="56"/>
      <c r="AA177" s="56"/>
      <c r="AB177" s="87"/>
      <c r="AC177" s="90"/>
      <c r="AD177" s="43"/>
      <c r="AE177" s="44"/>
      <c r="AF177" s="56"/>
      <c r="AG177" s="56"/>
      <c r="AH177" s="32"/>
      <c r="AI177" s="43"/>
      <c r="AJ177" s="44"/>
      <c r="AK177" s="56"/>
      <c r="AL177" s="56"/>
      <c r="AM177" s="32"/>
      <c r="AN177" s="43"/>
      <c r="AO177" s="44"/>
      <c r="AP177" s="56"/>
      <c r="AQ177" s="56"/>
      <c r="AR177" s="32"/>
      <c r="AS177" s="43"/>
      <c r="AT177" s="44"/>
      <c r="AU177" s="56"/>
      <c r="AV177" s="56"/>
      <c r="AW177" s="30"/>
      <c r="AX177" s="43"/>
      <c r="AY177" s="44"/>
      <c r="AZ177" s="56"/>
      <c r="BA177" s="56"/>
      <c r="BB177" s="9"/>
    </row>
    <row r="178" spans="1:54" ht="43.5" x14ac:dyDescent="0.35">
      <c r="A178" s="186"/>
      <c r="B178" s="188" t="s">
        <v>200</v>
      </c>
      <c r="C178" s="189" t="s">
        <v>201</v>
      </c>
      <c r="D178" s="190"/>
      <c r="E178" s="191"/>
      <c r="F178" s="192"/>
      <c r="G178" s="193">
        <f>SUM(G181:G184)</f>
        <v>5160.3958869169619</v>
      </c>
      <c r="H178" s="189"/>
      <c r="I178" s="190"/>
      <c r="J178" s="191"/>
      <c r="K178" s="192"/>
      <c r="L178" s="193">
        <f>SUM(L181:L184)</f>
        <v>5160.3958869169619</v>
      </c>
      <c r="M178" s="194"/>
      <c r="N178" s="190"/>
      <c r="O178" s="191"/>
      <c r="P178" s="192"/>
      <c r="Q178" s="193">
        <f>SUM(Q181:Q184)</f>
        <v>0</v>
      </c>
      <c r="R178" s="194"/>
      <c r="S178" s="190"/>
      <c r="T178" s="191"/>
      <c r="U178" s="192"/>
      <c r="V178" s="193">
        <f>SUM(V181:V184)</f>
        <v>0</v>
      </c>
      <c r="W178" s="194"/>
      <c r="X178" s="190"/>
      <c r="Y178" s="191"/>
      <c r="Z178" s="192"/>
      <c r="AA178" s="193">
        <f>SUM(AA181:AA184)</f>
        <v>0</v>
      </c>
      <c r="AB178" s="189"/>
      <c r="AC178" s="195"/>
      <c r="AD178" s="190"/>
      <c r="AE178" s="191"/>
      <c r="AF178" s="192"/>
      <c r="AG178" s="193">
        <v>6813.0830000000024</v>
      </c>
      <c r="AH178" s="196"/>
      <c r="AI178" s="190"/>
      <c r="AJ178" s="191"/>
      <c r="AK178" s="192"/>
      <c r="AL178" s="193"/>
      <c r="AM178" s="196"/>
      <c r="AN178" s="190"/>
      <c r="AO178" s="191"/>
      <c r="AP178" s="192"/>
      <c r="AQ178" s="193"/>
      <c r="AR178" s="196"/>
      <c r="AS178" s="190"/>
      <c r="AT178" s="191"/>
      <c r="AU178" s="192"/>
      <c r="AV178" s="193"/>
      <c r="AW178" s="194"/>
      <c r="AX178" s="190"/>
      <c r="AY178" s="191"/>
      <c r="AZ178" s="192"/>
      <c r="BA178" s="193">
        <f>AG178+AL178+AQ178+AV178</f>
        <v>6813.0830000000024</v>
      </c>
      <c r="BB178" s="9"/>
    </row>
    <row r="179" spans="1:54" hidden="1" x14ac:dyDescent="0.35">
      <c r="A179" s="54"/>
      <c r="B179" s="180" t="s">
        <v>202</v>
      </c>
      <c r="C179" s="42"/>
      <c r="D179" s="43"/>
      <c r="E179" s="44"/>
      <c r="F179" s="56"/>
      <c r="G179" s="56"/>
      <c r="H179" s="42"/>
      <c r="I179" s="43"/>
      <c r="J179" s="44"/>
      <c r="K179" s="56"/>
      <c r="L179" s="56"/>
      <c r="M179" s="30"/>
      <c r="N179" s="43"/>
      <c r="O179" s="44"/>
      <c r="P179" s="56"/>
      <c r="Q179" s="56"/>
      <c r="R179" s="30"/>
      <c r="S179" s="43"/>
      <c r="T179" s="44"/>
      <c r="U179" s="56"/>
      <c r="V179" s="56"/>
      <c r="W179" s="30"/>
      <c r="X179" s="43"/>
      <c r="Y179" s="44"/>
      <c r="Z179" s="56"/>
      <c r="AA179" s="56"/>
      <c r="AB179" s="42"/>
      <c r="AC179" s="46"/>
      <c r="AD179" s="43"/>
      <c r="AE179" s="44"/>
      <c r="AF179" s="56"/>
      <c r="AG179" s="56"/>
      <c r="AH179" s="32"/>
      <c r="AI179" s="43"/>
      <c r="AJ179" s="44"/>
      <c r="AK179" s="56"/>
      <c r="AL179" s="56"/>
      <c r="AM179" s="32"/>
      <c r="AN179" s="43"/>
      <c r="AO179" s="44"/>
      <c r="AP179" s="56"/>
      <c r="AQ179" s="56"/>
      <c r="AR179" s="32"/>
      <c r="AS179" s="43"/>
      <c r="AT179" s="44"/>
      <c r="AU179" s="56"/>
      <c r="AV179" s="56"/>
      <c r="AW179" s="30"/>
      <c r="AX179" s="43"/>
      <c r="AY179" s="44"/>
      <c r="AZ179" s="56"/>
      <c r="BA179" s="56"/>
      <c r="BB179" s="9"/>
    </row>
    <row r="180" spans="1:54" hidden="1" x14ac:dyDescent="0.35">
      <c r="A180" s="54"/>
      <c r="B180" s="55" t="s">
        <v>203</v>
      </c>
      <c r="C180" s="42"/>
      <c r="D180" s="43"/>
      <c r="E180" s="44"/>
      <c r="F180" s="56"/>
      <c r="G180" s="56"/>
      <c r="H180" s="42"/>
      <c r="I180" s="43"/>
      <c r="J180" s="44"/>
      <c r="K180" s="56"/>
      <c r="L180" s="56"/>
      <c r="M180" s="30"/>
      <c r="N180" s="43"/>
      <c r="O180" s="44"/>
      <c r="P180" s="56"/>
      <c r="Q180" s="56"/>
      <c r="R180" s="30"/>
      <c r="S180" s="43"/>
      <c r="T180" s="44"/>
      <c r="U180" s="56"/>
      <c r="V180" s="56"/>
      <c r="W180" s="30"/>
      <c r="X180" s="43"/>
      <c r="Y180" s="44"/>
      <c r="Z180" s="56"/>
      <c r="AA180" s="56"/>
      <c r="AB180" s="42"/>
      <c r="AC180" s="46"/>
      <c r="AD180" s="43"/>
      <c r="AE180" s="44"/>
      <c r="AF180" s="56"/>
      <c r="AG180" s="56"/>
      <c r="AH180" s="32"/>
      <c r="AI180" s="43"/>
      <c r="AJ180" s="44"/>
      <c r="AK180" s="56"/>
      <c r="AL180" s="56"/>
      <c r="AM180" s="32"/>
      <c r="AN180" s="43"/>
      <c r="AO180" s="44"/>
      <c r="AP180" s="56"/>
      <c r="AQ180" s="56"/>
      <c r="AR180" s="32"/>
      <c r="AS180" s="43"/>
      <c r="AT180" s="44"/>
      <c r="AU180" s="56"/>
      <c r="AV180" s="56"/>
      <c r="AW180" s="30"/>
      <c r="AX180" s="43"/>
      <c r="AY180" s="44"/>
      <c r="AZ180" s="56"/>
      <c r="BA180" s="56"/>
      <c r="BB180" s="9"/>
    </row>
    <row r="181" spans="1:54" x14ac:dyDescent="0.35">
      <c r="A181" s="54"/>
      <c r="B181" s="55" t="s">
        <v>204</v>
      </c>
      <c r="C181" s="87" t="s">
        <v>201</v>
      </c>
      <c r="D181" s="176" t="s">
        <v>56</v>
      </c>
      <c r="E181" s="197">
        <v>75</v>
      </c>
      <c r="F181" s="177">
        <v>60.979606894964149</v>
      </c>
      <c r="G181" s="177">
        <v>4573.4705171223113</v>
      </c>
      <c r="H181" s="87"/>
      <c r="I181" s="176" t="s">
        <v>56</v>
      </c>
      <c r="J181" s="197">
        <v>75</v>
      </c>
      <c r="K181" s="198">
        <v>60.979606894964149</v>
      </c>
      <c r="L181" s="146">
        <v>4573.4705171223113</v>
      </c>
      <c r="M181" s="178"/>
      <c r="N181" s="176"/>
      <c r="O181" s="197"/>
      <c r="P181" s="146"/>
      <c r="Q181" s="146"/>
      <c r="R181" s="30"/>
      <c r="S181" s="199"/>
      <c r="T181" s="197"/>
      <c r="U181" s="146"/>
      <c r="V181" s="146"/>
      <c r="W181" s="30"/>
      <c r="X181" s="199"/>
      <c r="Y181" s="197"/>
      <c r="Z181" s="146"/>
      <c r="AA181" s="146"/>
      <c r="AB181" s="87"/>
      <c r="AC181" s="90"/>
      <c r="AD181" s="176"/>
      <c r="AE181" s="197"/>
      <c r="AF181" s="198"/>
      <c r="AG181" s="146"/>
      <c r="AH181" s="200"/>
      <c r="AI181" s="176"/>
      <c r="AJ181" s="197"/>
      <c r="AK181" s="146"/>
      <c r="AL181" s="146"/>
      <c r="AM181" s="32"/>
      <c r="AN181" s="199"/>
      <c r="AO181" s="197"/>
      <c r="AP181" s="146"/>
      <c r="AQ181" s="146"/>
      <c r="AR181" s="32"/>
      <c r="AS181" s="199"/>
      <c r="AT181" s="197"/>
      <c r="AU181" s="146"/>
      <c r="AV181" s="146"/>
      <c r="AW181" s="30"/>
      <c r="AX181" s="176"/>
      <c r="AY181" s="197"/>
      <c r="AZ181" s="177"/>
      <c r="BA181" s="177">
        <f t="shared" ref="BA181:BA244" si="8">AG181+AL181+AQ181+AV181</f>
        <v>0</v>
      </c>
      <c r="BB181" s="9"/>
    </row>
    <row r="182" spans="1:54" x14ac:dyDescent="0.35">
      <c r="A182" s="54"/>
      <c r="B182" s="55" t="s">
        <v>205</v>
      </c>
      <c r="C182" s="87" t="s">
        <v>201</v>
      </c>
      <c r="D182" s="176" t="s">
        <v>70</v>
      </c>
      <c r="E182" s="197">
        <v>25</v>
      </c>
      <c r="F182" s="177">
        <v>1.5244901723741038</v>
      </c>
      <c r="G182" s="177">
        <v>38.112254309352593</v>
      </c>
      <c r="H182" s="87"/>
      <c r="I182" s="176" t="s">
        <v>70</v>
      </c>
      <c r="J182" s="197">
        <v>25</v>
      </c>
      <c r="K182" s="198">
        <v>1.5244901723741038</v>
      </c>
      <c r="L182" s="146">
        <v>38.112254309352593</v>
      </c>
      <c r="M182" s="178"/>
      <c r="N182" s="199"/>
      <c r="O182" s="197"/>
      <c r="P182" s="146"/>
      <c r="Q182" s="146"/>
      <c r="R182" s="30"/>
      <c r="S182" s="199"/>
      <c r="T182" s="197"/>
      <c r="U182" s="146"/>
      <c r="V182" s="146"/>
      <c r="W182" s="30"/>
      <c r="X182" s="199"/>
      <c r="Y182" s="197"/>
      <c r="Z182" s="146"/>
      <c r="AA182" s="146"/>
      <c r="AB182" s="87"/>
      <c r="AC182" s="90"/>
      <c r="AD182" s="176"/>
      <c r="AE182" s="197"/>
      <c r="AF182" s="198"/>
      <c r="AG182" s="146"/>
      <c r="AH182" s="200"/>
      <c r="AI182" s="199"/>
      <c r="AJ182" s="197"/>
      <c r="AK182" s="146"/>
      <c r="AL182" s="146"/>
      <c r="AM182" s="32"/>
      <c r="AN182" s="199"/>
      <c r="AO182" s="197"/>
      <c r="AP182" s="146"/>
      <c r="AQ182" s="146"/>
      <c r="AR182" s="32"/>
      <c r="AS182" s="199"/>
      <c r="AT182" s="197"/>
      <c r="AU182" s="146"/>
      <c r="AV182" s="146"/>
      <c r="AW182" s="30"/>
      <c r="AX182" s="176"/>
      <c r="AY182" s="197"/>
      <c r="AZ182" s="177"/>
      <c r="BA182" s="177">
        <f t="shared" si="8"/>
        <v>0</v>
      </c>
      <c r="BB182" s="9"/>
    </row>
    <row r="183" spans="1:54" x14ac:dyDescent="0.35">
      <c r="A183" s="54"/>
      <c r="B183" s="55" t="s">
        <v>206</v>
      </c>
      <c r="C183" s="87" t="s">
        <v>201</v>
      </c>
      <c r="D183" s="176" t="s">
        <v>207</v>
      </c>
      <c r="E183" s="197">
        <v>35</v>
      </c>
      <c r="F183" s="177">
        <v>12.19592137899283</v>
      </c>
      <c r="G183" s="177">
        <v>426.85724826474905</v>
      </c>
      <c r="H183" s="87"/>
      <c r="I183" s="176" t="s">
        <v>207</v>
      </c>
      <c r="J183" s="197">
        <v>35</v>
      </c>
      <c r="K183" s="198">
        <v>12.19592137899283</v>
      </c>
      <c r="L183" s="146">
        <v>426.85724826474905</v>
      </c>
      <c r="M183" s="178"/>
      <c r="N183" s="199"/>
      <c r="O183" s="197"/>
      <c r="P183" s="146"/>
      <c r="Q183" s="146"/>
      <c r="R183" s="30"/>
      <c r="S183" s="199"/>
      <c r="T183" s="197"/>
      <c r="U183" s="146"/>
      <c r="V183" s="146"/>
      <c r="W183" s="30"/>
      <c r="X183" s="199"/>
      <c r="Y183" s="197"/>
      <c r="Z183" s="146"/>
      <c r="AA183" s="146"/>
      <c r="AB183" s="87"/>
      <c r="AC183" s="90"/>
      <c r="AD183" s="176"/>
      <c r="AE183" s="197"/>
      <c r="AF183" s="198"/>
      <c r="AG183" s="146"/>
      <c r="AH183" s="200"/>
      <c r="AI183" s="199"/>
      <c r="AJ183" s="197"/>
      <c r="AK183" s="146"/>
      <c r="AL183" s="146"/>
      <c r="AM183" s="32"/>
      <c r="AN183" s="199"/>
      <c r="AO183" s="197"/>
      <c r="AP183" s="146"/>
      <c r="AQ183" s="146"/>
      <c r="AR183" s="32"/>
      <c r="AS183" s="199"/>
      <c r="AT183" s="197"/>
      <c r="AU183" s="146"/>
      <c r="AV183" s="146"/>
      <c r="AW183" s="30"/>
      <c r="AX183" s="176"/>
      <c r="AY183" s="197"/>
      <c r="AZ183" s="177"/>
      <c r="BA183" s="177">
        <f t="shared" si="8"/>
        <v>0</v>
      </c>
      <c r="BB183" s="9"/>
    </row>
    <row r="184" spans="1:54" x14ac:dyDescent="0.35">
      <c r="A184" s="54"/>
      <c r="B184" s="55" t="s">
        <v>208</v>
      </c>
      <c r="C184" s="87" t="s">
        <v>201</v>
      </c>
      <c r="D184" s="176" t="s">
        <v>56</v>
      </c>
      <c r="E184" s="197">
        <v>1</v>
      </c>
      <c r="F184" s="177">
        <v>121.95586722054956</v>
      </c>
      <c r="G184" s="177">
        <v>121.95586722054956</v>
      </c>
      <c r="H184" s="87"/>
      <c r="I184" s="176" t="s">
        <v>56</v>
      </c>
      <c r="J184" s="197">
        <v>1</v>
      </c>
      <c r="K184" s="198">
        <v>121.95586722054956</v>
      </c>
      <c r="L184" s="146">
        <v>121.95586722054956</v>
      </c>
      <c r="M184" s="178"/>
      <c r="N184" s="199"/>
      <c r="O184" s="197"/>
      <c r="P184" s="146"/>
      <c r="Q184" s="146"/>
      <c r="R184" s="30"/>
      <c r="S184" s="199"/>
      <c r="T184" s="197"/>
      <c r="U184" s="146"/>
      <c r="V184" s="146"/>
      <c r="W184" s="30"/>
      <c r="X184" s="199"/>
      <c r="Y184" s="197"/>
      <c r="Z184" s="146"/>
      <c r="AA184" s="146"/>
      <c r="AB184" s="87"/>
      <c r="AC184" s="90"/>
      <c r="AD184" s="176"/>
      <c r="AE184" s="197"/>
      <c r="AF184" s="198"/>
      <c r="AG184" s="146"/>
      <c r="AH184" s="200"/>
      <c r="AI184" s="199"/>
      <c r="AJ184" s="197"/>
      <c r="AK184" s="146"/>
      <c r="AL184" s="146"/>
      <c r="AM184" s="32"/>
      <c r="AN184" s="199"/>
      <c r="AO184" s="197"/>
      <c r="AP184" s="146"/>
      <c r="AQ184" s="146"/>
      <c r="AR184" s="32"/>
      <c r="AS184" s="199"/>
      <c r="AT184" s="197"/>
      <c r="AU184" s="146"/>
      <c r="AV184" s="146"/>
      <c r="AW184" s="30"/>
      <c r="AX184" s="176"/>
      <c r="AY184" s="197"/>
      <c r="AZ184" s="177"/>
      <c r="BA184" s="177">
        <f t="shared" si="8"/>
        <v>0</v>
      </c>
      <c r="BB184" s="9"/>
    </row>
    <row r="185" spans="1:54" x14ac:dyDescent="0.35">
      <c r="A185" s="201"/>
      <c r="B185" s="188" t="s">
        <v>209</v>
      </c>
      <c r="C185" s="189"/>
      <c r="D185" s="202"/>
      <c r="E185" s="203"/>
      <c r="F185" s="204"/>
      <c r="G185" s="204">
        <f>G190</f>
        <v>75645.202353203029</v>
      </c>
      <c r="H185" s="189"/>
      <c r="I185" s="202"/>
      <c r="J185" s="203"/>
      <c r="K185" s="205"/>
      <c r="L185" s="206">
        <f>L190</f>
        <v>13491.738025510818</v>
      </c>
      <c r="M185" s="207"/>
      <c r="N185" s="202"/>
      <c r="O185" s="203"/>
      <c r="P185" s="208"/>
      <c r="Q185" s="206">
        <f>Q190</f>
        <v>17379.187965064782</v>
      </c>
      <c r="R185" s="194"/>
      <c r="S185" s="202"/>
      <c r="T185" s="203"/>
      <c r="U185" s="208"/>
      <c r="V185" s="206">
        <f>V190</f>
        <v>18476.820889174138</v>
      </c>
      <c r="W185" s="194"/>
      <c r="X185" s="202"/>
      <c r="Y185" s="203"/>
      <c r="Z185" s="208"/>
      <c r="AA185" s="206">
        <f>AA190</f>
        <v>26297.45547345329</v>
      </c>
      <c r="AB185" s="189"/>
      <c r="AC185" s="195"/>
      <c r="AD185" s="202"/>
      <c r="AE185" s="203"/>
      <c r="AF185" s="205"/>
      <c r="AG185" s="206">
        <v>14989.444</v>
      </c>
      <c r="AH185" s="209"/>
      <c r="AI185" s="202"/>
      <c r="AJ185" s="203"/>
      <c r="AK185" s="208"/>
      <c r="AL185" s="206"/>
      <c r="AM185" s="196"/>
      <c r="AN185" s="202"/>
      <c r="AO185" s="203"/>
      <c r="AP185" s="208"/>
      <c r="AQ185" s="206"/>
      <c r="AR185" s="196"/>
      <c r="AS185" s="202"/>
      <c r="AT185" s="203"/>
      <c r="AU185" s="208"/>
      <c r="AV185" s="206"/>
      <c r="AW185" s="194"/>
      <c r="AX185" s="202"/>
      <c r="AY185" s="203"/>
      <c r="AZ185" s="204"/>
      <c r="BA185" s="204">
        <f t="shared" si="8"/>
        <v>14989.444</v>
      </c>
      <c r="BB185" s="9"/>
    </row>
    <row r="186" spans="1:54" hidden="1" x14ac:dyDescent="0.35">
      <c r="A186" s="54"/>
      <c r="B186" s="210" t="s">
        <v>202</v>
      </c>
      <c r="C186" s="42"/>
      <c r="D186" s="199"/>
      <c r="E186" s="197"/>
      <c r="F186" s="146"/>
      <c r="G186" s="146"/>
      <c r="H186" s="42"/>
      <c r="I186" s="199"/>
      <c r="J186" s="197"/>
      <c r="K186" s="198"/>
      <c r="L186" s="146"/>
      <c r="M186" s="178"/>
      <c r="N186" s="199"/>
      <c r="O186" s="197"/>
      <c r="P186" s="146"/>
      <c r="Q186" s="146"/>
      <c r="R186" s="30"/>
      <c r="S186" s="199"/>
      <c r="T186" s="197"/>
      <c r="U186" s="146"/>
      <c r="V186" s="146"/>
      <c r="W186" s="30"/>
      <c r="X186" s="199"/>
      <c r="Y186" s="197"/>
      <c r="Z186" s="146"/>
      <c r="AA186" s="146"/>
      <c r="AB186" s="42"/>
      <c r="AC186" s="46"/>
      <c r="AD186" s="199"/>
      <c r="AE186" s="197"/>
      <c r="AF186" s="198"/>
      <c r="AG186" s="146"/>
      <c r="AH186" s="200"/>
      <c r="AI186" s="199"/>
      <c r="AJ186" s="197"/>
      <c r="AK186" s="146"/>
      <c r="AL186" s="146"/>
      <c r="AM186" s="32"/>
      <c r="AN186" s="199"/>
      <c r="AO186" s="197"/>
      <c r="AP186" s="146"/>
      <c r="AQ186" s="146"/>
      <c r="AR186" s="32"/>
      <c r="AS186" s="199"/>
      <c r="AT186" s="197"/>
      <c r="AU186" s="146"/>
      <c r="AV186" s="146"/>
      <c r="AW186" s="30"/>
      <c r="AX186" s="199"/>
      <c r="AY186" s="197"/>
      <c r="AZ186" s="146"/>
      <c r="BA186" s="177">
        <f t="shared" si="8"/>
        <v>0</v>
      </c>
      <c r="BB186" s="9"/>
    </row>
    <row r="187" spans="1:54" hidden="1" x14ac:dyDescent="0.35">
      <c r="A187" s="54"/>
      <c r="B187" s="55" t="s">
        <v>203</v>
      </c>
      <c r="C187" s="42"/>
      <c r="D187" s="199"/>
      <c r="E187" s="197"/>
      <c r="F187" s="146"/>
      <c r="G187" s="146"/>
      <c r="H187" s="42"/>
      <c r="I187" s="199"/>
      <c r="J187" s="197"/>
      <c r="K187" s="198"/>
      <c r="L187" s="146"/>
      <c r="M187" s="178"/>
      <c r="N187" s="199"/>
      <c r="O187" s="197"/>
      <c r="P187" s="146"/>
      <c r="Q187" s="146"/>
      <c r="R187" s="30"/>
      <c r="S187" s="199"/>
      <c r="T187" s="197"/>
      <c r="U187" s="146"/>
      <c r="V187" s="146"/>
      <c r="W187" s="30"/>
      <c r="X187" s="199"/>
      <c r="Y187" s="197"/>
      <c r="Z187" s="146"/>
      <c r="AA187" s="146"/>
      <c r="AB187" s="42"/>
      <c r="AC187" s="46"/>
      <c r="AD187" s="199"/>
      <c r="AE187" s="197"/>
      <c r="AF187" s="198"/>
      <c r="AG187" s="146"/>
      <c r="AH187" s="200"/>
      <c r="AI187" s="199"/>
      <c r="AJ187" s="197"/>
      <c r="AK187" s="146"/>
      <c r="AL187" s="146"/>
      <c r="AM187" s="32"/>
      <c r="AN187" s="199"/>
      <c r="AO187" s="197"/>
      <c r="AP187" s="146"/>
      <c r="AQ187" s="146"/>
      <c r="AR187" s="32"/>
      <c r="AS187" s="199"/>
      <c r="AT187" s="197"/>
      <c r="AU187" s="146"/>
      <c r="AV187" s="146"/>
      <c r="AW187" s="30"/>
      <c r="AX187" s="199"/>
      <c r="AY187" s="197"/>
      <c r="AZ187" s="146"/>
      <c r="BA187" s="177">
        <f t="shared" si="8"/>
        <v>0</v>
      </c>
      <c r="BB187" s="9"/>
    </row>
    <row r="188" spans="1:54" hidden="1" x14ac:dyDescent="0.35">
      <c r="A188" s="54"/>
      <c r="B188" s="174" t="s">
        <v>210</v>
      </c>
      <c r="C188" s="42"/>
      <c r="D188" s="199"/>
      <c r="E188" s="197"/>
      <c r="F188" s="146"/>
      <c r="G188" s="146"/>
      <c r="H188" s="42"/>
      <c r="I188" s="199"/>
      <c r="J188" s="197"/>
      <c r="K188" s="198"/>
      <c r="L188" s="146"/>
      <c r="M188" s="178"/>
      <c r="N188" s="199"/>
      <c r="O188" s="197"/>
      <c r="P188" s="146"/>
      <c r="Q188" s="146"/>
      <c r="R188" s="30"/>
      <c r="S188" s="199"/>
      <c r="T188" s="197"/>
      <c r="U188" s="146"/>
      <c r="V188" s="146"/>
      <c r="W188" s="30"/>
      <c r="X188" s="199"/>
      <c r="Y188" s="197"/>
      <c r="Z188" s="146"/>
      <c r="AA188" s="146"/>
      <c r="AB188" s="42"/>
      <c r="AC188" s="46"/>
      <c r="AD188" s="199"/>
      <c r="AE188" s="197"/>
      <c r="AF188" s="198"/>
      <c r="AG188" s="146"/>
      <c r="AH188" s="200"/>
      <c r="AI188" s="199"/>
      <c r="AJ188" s="197"/>
      <c r="AK188" s="146"/>
      <c r="AL188" s="146"/>
      <c r="AM188" s="32"/>
      <c r="AN188" s="199"/>
      <c r="AO188" s="197"/>
      <c r="AP188" s="146"/>
      <c r="AQ188" s="146"/>
      <c r="AR188" s="32"/>
      <c r="AS188" s="199"/>
      <c r="AT188" s="197"/>
      <c r="AU188" s="146"/>
      <c r="AV188" s="146"/>
      <c r="AW188" s="30"/>
      <c r="AX188" s="199"/>
      <c r="AY188" s="197"/>
      <c r="AZ188" s="146"/>
      <c r="BA188" s="177">
        <f t="shared" si="8"/>
        <v>0</v>
      </c>
      <c r="BB188" s="9"/>
    </row>
    <row r="189" spans="1:54" hidden="1" x14ac:dyDescent="0.35">
      <c r="A189" s="54"/>
      <c r="B189" s="55" t="s">
        <v>211</v>
      </c>
      <c r="C189" s="42"/>
      <c r="D189" s="199"/>
      <c r="E189" s="197"/>
      <c r="F189" s="146"/>
      <c r="G189" s="146"/>
      <c r="H189" s="42"/>
      <c r="I189" s="199"/>
      <c r="J189" s="197"/>
      <c r="K189" s="198"/>
      <c r="L189" s="146"/>
      <c r="M189" s="178"/>
      <c r="N189" s="199"/>
      <c r="O189" s="197"/>
      <c r="P189" s="146"/>
      <c r="Q189" s="146"/>
      <c r="R189" s="30"/>
      <c r="S189" s="199"/>
      <c r="T189" s="197"/>
      <c r="U189" s="146"/>
      <c r="V189" s="146"/>
      <c r="W189" s="30"/>
      <c r="X189" s="199"/>
      <c r="Y189" s="197"/>
      <c r="Z189" s="146"/>
      <c r="AA189" s="146"/>
      <c r="AB189" s="42"/>
      <c r="AC189" s="46"/>
      <c r="AD189" s="199"/>
      <c r="AE189" s="197"/>
      <c r="AF189" s="198"/>
      <c r="AG189" s="146"/>
      <c r="AH189" s="200"/>
      <c r="AI189" s="199"/>
      <c r="AJ189" s="197"/>
      <c r="AK189" s="146"/>
      <c r="AL189" s="146"/>
      <c r="AM189" s="32"/>
      <c r="AN189" s="199"/>
      <c r="AO189" s="197"/>
      <c r="AP189" s="146"/>
      <c r="AQ189" s="146"/>
      <c r="AR189" s="32"/>
      <c r="AS189" s="199"/>
      <c r="AT189" s="197"/>
      <c r="AU189" s="146"/>
      <c r="AV189" s="146"/>
      <c r="AW189" s="30"/>
      <c r="AX189" s="199"/>
      <c r="AY189" s="197"/>
      <c r="AZ189" s="146"/>
      <c r="BA189" s="177">
        <f t="shared" si="8"/>
        <v>0</v>
      </c>
      <c r="BB189" s="9"/>
    </row>
    <row r="190" spans="1:54" x14ac:dyDescent="0.35">
      <c r="A190" s="54"/>
      <c r="B190" s="55" t="s">
        <v>212</v>
      </c>
      <c r="C190" s="74" t="s">
        <v>213</v>
      </c>
      <c r="D190" s="199" t="s">
        <v>192</v>
      </c>
      <c r="E190" s="197">
        <v>3308</v>
      </c>
      <c r="F190" s="177">
        <v>22.867352585611556</v>
      </c>
      <c r="G190" s="177">
        <v>75645.202353203029</v>
      </c>
      <c r="H190" s="74"/>
      <c r="I190" s="176" t="s">
        <v>214</v>
      </c>
      <c r="J190" s="197">
        <v>590</v>
      </c>
      <c r="K190" s="211">
        <v>22.867352585611556</v>
      </c>
      <c r="L190" s="212">
        <v>13491.738025510818</v>
      </c>
      <c r="M190" s="178"/>
      <c r="N190" s="176" t="s">
        <v>214</v>
      </c>
      <c r="O190" s="197">
        <v>760</v>
      </c>
      <c r="P190" s="213">
        <v>22.867352585611556</v>
      </c>
      <c r="Q190" s="212">
        <v>17379.187965064782</v>
      </c>
      <c r="R190" s="30"/>
      <c r="S190" s="176" t="s">
        <v>214</v>
      </c>
      <c r="T190" s="197">
        <v>808</v>
      </c>
      <c r="U190" s="213">
        <v>22.867352585611556</v>
      </c>
      <c r="V190" s="212">
        <v>18476.820889174138</v>
      </c>
      <c r="W190" s="30"/>
      <c r="X190" s="176" t="s">
        <v>214</v>
      </c>
      <c r="Y190" s="197">
        <v>1150</v>
      </c>
      <c r="Z190" s="213">
        <v>22.867352585611556</v>
      </c>
      <c r="AA190" s="212">
        <v>26297.45547345329</v>
      </c>
      <c r="AB190" s="74"/>
      <c r="AC190" s="46"/>
      <c r="AD190" s="176"/>
      <c r="AE190" s="197"/>
      <c r="AF190" s="211"/>
      <c r="AG190" s="212"/>
      <c r="AH190" s="200"/>
      <c r="AI190" s="176"/>
      <c r="AJ190" s="197"/>
      <c r="AK190" s="213"/>
      <c r="AL190" s="212"/>
      <c r="AM190" s="32"/>
      <c r="AN190" s="176"/>
      <c r="AO190" s="197"/>
      <c r="AP190" s="213"/>
      <c r="AQ190" s="212"/>
      <c r="AR190" s="32"/>
      <c r="AS190" s="176"/>
      <c r="AT190" s="197"/>
      <c r="AU190" s="213"/>
      <c r="AV190" s="212"/>
      <c r="AW190" s="30"/>
      <c r="AX190" s="199"/>
      <c r="AY190" s="197"/>
      <c r="AZ190" s="177"/>
      <c r="BA190" s="177">
        <f t="shared" si="8"/>
        <v>0</v>
      </c>
      <c r="BB190" s="9"/>
    </row>
    <row r="191" spans="1:54" ht="29" x14ac:dyDescent="0.35">
      <c r="A191" s="201"/>
      <c r="B191" s="188" t="s">
        <v>215</v>
      </c>
      <c r="C191" s="189"/>
      <c r="D191" s="214"/>
      <c r="E191" s="203"/>
      <c r="F191" s="204"/>
      <c r="G191" s="204">
        <f>G198</f>
        <v>9146.9410342446226</v>
      </c>
      <c r="H191" s="189"/>
      <c r="I191" s="214"/>
      <c r="J191" s="203"/>
      <c r="K191" s="215"/>
      <c r="L191" s="206">
        <f>L198</f>
        <v>9146.9410342446226</v>
      </c>
      <c r="M191" s="207"/>
      <c r="N191" s="214"/>
      <c r="O191" s="203"/>
      <c r="P191" s="206"/>
      <c r="Q191" s="206">
        <f>Q198</f>
        <v>0</v>
      </c>
      <c r="R191" s="194"/>
      <c r="S191" s="214"/>
      <c r="T191" s="203"/>
      <c r="U191" s="206"/>
      <c r="V191" s="206">
        <f>V198</f>
        <v>0</v>
      </c>
      <c r="W191" s="194"/>
      <c r="X191" s="214"/>
      <c r="Y191" s="203"/>
      <c r="Z191" s="206"/>
      <c r="AA191" s="206">
        <f>AA198</f>
        <v>0</v>
      </c>
      <c r="AB191" s="189"/>
      <c r="AC191" s="195"/>
      <c r="AD191" s="214"/>
      <c r="AE191" s="203"/>
      <c r="AF191" s="215"/>
      <c r="AG191" s="206">
        <v>0</v>
      </c>
      <c r="AH191" s="209"/>
      <c r="AI191" s="214"/>
      <c r="AJ191" s="203"/>
      <c r="AK191" s="206"/>
      <c r="AL191" s="206"/>
      <c r="AM191" s="196"/>
      <c r="AN191" s="214"/>
      <c r="AO191" s="203"/>
      <c r="AP191" s="206"/>
      <c r="AQ191" s="206"/>
      <c r="AR191" s="196"/>
      <c r="AS191" s="214"/>
      <c r="AT191" s="203"/>
      <c r="AU191" s="206"/>
      <c r="AV191" s="206"/>
      <c r="AW191" s="194"/>
      <c r="AX191" s="214"/>
      <c r="AY191" s="203"/>
      <c r="AZ191" s="204"/>
      <c r="BA191" s="204">
        <f t="shared" si="8"/>
        <v>0</v>
      </c>
      <c r="BB191" s="9"/>
    </row>
    <row r="192" spans="1:54" x14ac:dyDescent="0.35">
      <c r="A192" s="201"/>
      <c r="B192" s="188" t="s">
        <v>216</v>
      </c>
      <c r="C192" s="189" t="s">
        <v>217</v>
      </c>
      <c r="D192" s="214" t="s">
        <v>218</v>
      </c>
      <c r="E192" s="203">
        <v>46610</v>
      </c>
      <c r="F192" s="215">
        <v>5.3357156033093629</v>
      </c>
      <c r="G192" s="206">
        <v>248697.70427024941</v>
      </c>
      <c r="H192" s="189"/>
      <c r="I192" s="214" t="s">
        <v>218</v>
      </c>
      <c r="J192" s="203">
        <v>46610</v>
      </c>
      <c r="K192" s="215">
        <v>5.3357156033093629</v>
      </c>
      <c r="L192" s="206">
        <v>248697.70427024941</v>
      </c>
      <c r="M192" s="207"/>
      <c r="N192" s="214"/>
      <c r="O192" s="203"/>
      <c r="P192" s="206"/>
      <c r="Q192" s="206"/>
      <c r="R192" s="194"/>
      <c r="S192" s="214"/>
      <c r="T192" s="203"/>
      <c r="U192" s="206"/>
      <c r="V192" s="206"/>
      <c r="W192" s="194"/>
      <c r="X192" s="214"/>
      <c r="Y192" s="203"/>
      <c r="Z192" s="206"/>
      <c r="AA192" s="206"/>
      <c r="AB192" s="189"/>
      <c r="AC192" s="195"/>
      <c r="AD192" s="214"/>
      <c r="AE192" s="203"/>
      <c r="AF192" s="215"/>
      <c r="AG192" s="206">
        <v>104861.413</v>
      </c>
      <c r="AH192" s="209"/>
      <c r="AI192" s="214"/>
      <c r="AJ192" s="203"/>
      <c r="AK192" s="206"/>
      <c r="AL192" s="206"/>
      <c r="AM192" s="196"/>
      <c r="AN192" s="214"/>
      <c r="AO192" s="203"/>
      <c r="AP192" s="206"/>
      <c r="AQ192" s="206"/>
      <c r="AR192" s="196"/>
      <c r="AS192" s="214"/>
      <c r="AT192" s="203"/>
      <c r="AU192" s="206"/>
      <c r="AV192" s="206"/>
      <c r="AW192" s="194"/>
      <c r="AX192" s="214"/>
      <c r="AY192" s="203"/>
      <c r="AZ192" s="215"/>
      <c r="BA192" s="204">
        <f t="shared" si="8"/>
        <v>104861.413</v>
      </c>
      <c r="BB192" s="9"/>
    </row>
    <row r="193" spans="1:54" x14ac:dyDescent="0.35">
      <c r="A193" s="201"/>
      <c r="B193" s="188" t="s">
        <v>219</v>
      </c>
      <c r="C193" s="189" t="s">
        <v>217</v>
      </c>
      <c r="D193" s="214" t="s">
        <v>134</v>
      </c>
      <c r="E193" s="203"/>
      <c r="F193" s="215"/>
      <c r="G193" s="206">
        <v>37456</v>
      </c>
      <c r="H193" s="189"/>
      <c r="I193" s="214" t="s">
        <v>134</v>
      </c>
      <c r="J193" s="203"/>
      <c r="K193" s="215"/>
      <c r="L193" s="206">
        <v>37456</v>
      </c>
      <c r="M193" s="207"/>
      <c r="N193" s="214"/>
      <c r="O193" s="203"/>
      <c r="P193" s="206"/>
      <c r="Q193" s="206"/>
      <c r="R193" s="194"/>
      <c r="S193" s="214"/>
      <c r="T193" s="203"/>
      <c r="U193" s="206"/>
      <c r="V193" s="206"/>
      <c r="W193" s="194"/>
      <c r="X193" s="214"/>
      <c r="Y193" s="203"/>
      <c r="Z193" s="206"/>
      <c r="AA193" s="206"/>
      <c r="AB193" s="189"/>
      <c r="AC193" s="195"/>
      <c r="AD193" s="214"/>
      <c r="AE193" s="203"/>
      <c r="AF193" s="215"/>
      <c r="AG193" s="206">
        <v>0</v>
      </c>
      <c r="AH193" s="209"/>
      <c r="AI193" s="214"/>
      <c r="AJ193" s="203"/>
      <c r="AK193" s="206"/>
      <c r="AL193" s="206"/>
      <c r="AM193" s="196"/>
      <c r="AN193" s="214"/>
      <c r="AO193" s="203"/>
      <c r="AP193" s="206"/>
      <c r="AQ193" s="206"/>
      <c r="AR193" s="196"/>
      <c r="AS193" s="214"/>
      <c r="AT193" s="203"/>
      <c r="AU193" s="206"/>
      <c r="AV193" s="206"/>
      <c r="AW193" s="194"/>
      <c r="AX193" s="214"/>
      <c r="AY193" s="203"/>
      <c r="AZ193" s="215"/>
      <c r="BA193" s="204">
        <f t="shared" si="8"/>
        <v>0</v>
      </c>
      <c r="BB193" s="9"/>
    </row>
    <row r="194" spans="1:54" hidden="1" x14ac:dyDescent="0.35">
      <c r="A194" s="54"/>
      <c r="B194" s="210" t="s">
        <v>202</v>
      </c>
      <c r="C194" s="42"/>
      <c r="D194" s="199"/>
      <c r="E194" s="197"/>
      <c r="F194" s="146"/>
      <c r="G194" s="146"/>
      <c r="H194" s="42"/>
      <c r="I194" s="199"/>
      <c r="J194" s="197"/>
      <c r="K194" s="198"/>
      <c r="L194" s="146"/>
      <c r="M194" s="178"/>
      <c r="N194" s="199"/>
      <c r="O194" s="197"/>
      <c r="P194" s="146"/>
      <c r="Q194" s="146"/>
      <c r="R194" s="30"/>
      <c r="S194" s="199"/>
      <c r="T194" s="197"/>
      <c r="U194" s="146"/>
      <c r="V194" s="146"/>
      <c r="W194" s="30"/>
      <c r="X194" s="199"/>
      <c r="Y194" s="197"/>
      <c r="Z194" s="146"/>
      <c r="AA194" s="146"/>
      <c r="AB194" s="42"/>
      <c r="AC194" s="46"/>
      <c r="AD194" s="199"/>
      <c r="AE194" s="197"/>
      <c r="AF194" s="198"/>
      <c r="AG194" s="146"/>
      <c r="AH194" s="200"/>
      <c r="AI194" s="199"/>
      <c r="AJ194" s="197"/>
      <c r="AK194" s="146"/>
      <c r="AL194" s="146"/>
      <c r="AM194" s="32"/>
      <c r="AN194" s="199"/>
      <c r="AO194" s="197"/>
      <c r="AP194" s="146"/>
      <c r="AQ194" s="146"/>
      <c r="AR194" s="32"/>
      <c r="AS194" s="199"/>
      <c r="AT194" s="197"/>
      <c r="AU194" s="146"/>
      <c r="AV194" s="146"/>
      <c r="AW194" s="30"/>
      <c r="AX194" s="199"/>
      <c r="AY194" s="197"/>
      <c r="AZ194" s="146"/>
      <c r="BA194" s="177">
        <f t="shared" si="8"/>
        <v>0</v>
      </c>
      <c r="BB194" s="9"/>
    </row>
    <row r="195" spans="1:54" hidden="1" x14ac:dyDescent="0.35">
      <c r="A195" s="54"/>
      <c r="B195" s="55" t="s">
        <v>203</v>
      </c>
      <c r="C195" s="42"/>
      <c r="D195" s="199"/>
      <c r="E195" s="197"/>
      <c r="F195" s="146"/>
      <c r="G195" s="146"/>
      <c r="H195" s="42"/>
      <c r="I195" s="199"/>
      <c r="J195" s="197"/>
      <c r="K195" s="198"/>
      <c r="L195" s="146"/>
      <c r="M195" s="178"/>
      <c r="N195" s="199"/>
      <c r="O195" s="197"/>
      <c r="P195" s="146"/>
      <c r="Q195" s="146"/>
      <c r="R195" s="30"/>
      <c r="S195" s="199"/>
      <c r="T195" s="197"/>
      <c r="U195" s="146"/>
      <c r="V195" s="146"/>
      <c r="W195" s="30"/>
      <c r="X195" s="199"/>
      <c r="Y195" s="197"/>
      <c r="Z195" s="146"/>
      <c r="AA195" s="146"/>
      <c r="AB195" s="42"/>
      <c r="AC195" s="46"/>
      <c r="AD195" s="199"/>
      <c r="AE195" s="197"/>
      <c r="AF195" s="198"/>
      <c r="AG195" s="146"/>
      <c r="AH195" s="200"/>
      <c r="AI195" s="199"/>
      <c r="AJ195" s="197"/>
      <c r="AK195" s="146"/>
      <c r="AL195" s="146"/>
      <c r="AM195" s="32"/>
      <c r="AN195" s="199"/>
      <c r="AO195" s="197"/>
      <c r="AP195" s="146"/>
      <c r="AQ195" s="146"/>
      <c r="AR195" s="32"/>
      <c r="AS195" s="199"/>
      <c r="AT195" s="197"/>
      <c r="AU195" s="146"/>
      <c r="AV195" s="146"/>
      <c r="AW195" s="30"/>
      <c r="AX195" s="199"/>
      <c r="AY195" s="197"/>
      <c r="AZ195" s="146"/>
      <c r="BA195" s="177">
        <f t="shared" si="8"/>
        <v>0</v>
      </c>
      <c r="BB195" s="9"/>
    </row>
    <row r="196" spans="1:54" hidden="1" x14ac:dyDescent="0.35">
      <c r="A196" s="54"/>
      <c r="B196" s="174" t="s">
        <v>210</v>
      </c>
      <c r="C196" s="42"/>
      <c r="D196" s="199"/>
      <c r="E196" s="197"/>
      <c r="F196" s="146"/>
      <c r="G196" s="146"/>
      <c r="H196" s="42"/>
      <c r="I196" s="199"/>
      <c r="J196" s="197"/>
      <c r="K196" s="198"/>
      <c r="L196" s="146"/>
      <c r="M196" s="178"/>
      <c r="N196" s="199"/>
      <c r="O196" s="197"/>
      <c r="P196" s="146"/>
      <c r="Q196" s="146"/>
      <c r="R196" s="30"/>
      <c r="S196" s="199"/>
      <c r="T196" s="197"/>
      <c r="U196" s="146"/>
      <c r="V196" s="146"/>
      <c r="W196" s="30"/>
      <c r="X196" s="199"/>
      <c r="Y196" s="197"/>
      <c r="Z196" s="146"/>
      <c r="AA196" s="146"/>
      <c r="AB196" s="42"/>
      <c r="AC196" s="46"/>
      <c r="AD196" s="199"/>
      <c r="AE196" s="197"/>
      <c r="AF196" s="198"/>
      <c r="AG196" s="146"/>
      <c r="AH196" s="200"/>
      <c r="AI196" s="199"/>
      <c r="AJ196" s="197"/>
      <c r="AK196" s="146"/>
      <c r="AL196" s="146"/>
      <c r="AM196" s="32"/>
      <c r="AN196" s="199"/>
      <c r="AO196" s="197"/>
      <c r="AP196" s="146"/>
      <c r="AQ196" s="146"/>
      <c r="AR196" s="32"/>
      <c r="AS196" s="199"/>
      <c r="AT196" s="197"/>
      <c r="AU196" s="146"/>
      <c r="AV196" s="146"/>
      <c r="AW196" s="30"/>
      <c r="AX196" s="199"/>
      <c r="AY196" s="197"/>
      <c r="AZ196" s="146"/>
      <c r="BA196" s="177">
        <f t="shared" si="8"/>
        <v>0</v>
      </c>
      <c r="BB196" s="9"/>
    </row>
    <row r="197" spans="1:54" hidden="1" x14ac:dyDescent="0.35">
      <c r="A197" s="54"/>
      <c r="B197" s="55" t="s">
        <v>220</v>
      </c>
      <c r="C197" s="216"/>
      <c r="D197" s="176"/>
      <c r="E197" s="197"/>
      <c r="F197" s="177"/>
      <c r="G197" s="177">
        <v>0</v>
      </c>
      <c r="H197" s="216"/>
      <c r="I197" s="176"/>
      <c r="J197" s="197"/>
      <c r="K197" s="217"/>
      <c r="L197" s="146">
        <v>0</v>
      </c>
      <c r="M197" s="178"/>
      <c r="N197" s="176"/>
      <c r="O197" s="197"/>
      <c r="P197" s="146"/>
      <c r="Q197" s="146">
        <v>0</v>
      </c>
      <c r="R197" s="30"/>
      <c r="S197" s="176"/>
      <c r="T197" s="197"/>
      <c r="U197" s="146"/>
      <c r="V197" s="146">
        <v>0</v>
      </c>
      <c r="W197" s="30"/>
      <c r="X197" s="176"/>
      <c r="Y197" s="197"/>
      <c r="Z197" s="146"/>
      <c r="AA197" s="146">
        <v>0</v>
      </c>
      <c r="AB197" s="216"/>
      <c r="AC197" s="218"/>
      <c r="AD197" s="176"/>
      <c r="AE197" s="197"/>
      <c r="AF197" s="217"/>
      <c r="AG197" s="146"/>
      <c r="AH197" s="200"/>
      <c r="AI197" s="176"/>
      <c r="AJ197" s="197"/>
      <c r="AK197" s="146"/>
      <c r="AL197" s="146"/>
      <c r="AM197" s="32"/>
      <c r="AN197" s="176"/>
      <c r="AO197" s="197"/>
      <c r="AP197" s="146"/>
      <c r="AQ197" s="146"/>
      <c r="AR197" s="32"/>
      <c r="AS197" s="176"/>
      <c r="AT197" s="197"/>
      <c r="AU197" s="146"/>
      <c r="AV197" s="146"/>
      <c r="AW197" s="30"/>
      <c r="AX197" s="176"/>
      <c r="AY197" s="197"/>
      <c r="AZ197" s="177"/>
      <c r="BA197" s="177">
        <f t="shared" si="8"/>
        <v>0</v>
      </c>
      <c r="BB197" s="9"/>
    </row>
    <row r="198" spans="1:54" x14ac:dyDescent="0.35">
      <c r="A198" s="54"/>
      <c r="B198" s="174" t="s">
        <v>221</v>
      </c>
      <c r="C198" s="216" t="s">
        <v>27</v>
      </c>
      <c r="D198" s="176" t="s">
        <v>222</v>
      </c>
      <c r="E198" s="197">
        <v>1</v>
      </c>
      <c r="F198" s="177">
        <v>9146.9410342446226</v>
      </c>
      <c r="G198" s="177">
        <v>9146.9410342446226</v>
      </c>
      <c r="H198" s="216"/>
      <c r="I198" s="176" t="s">
        <v>222</v>
      </c>
      <c r="J198" s="197">
        <v>1</v>
      </c>
      <c r="K198" s="217">
        <v>9146.9410342446226</v>
      </c>
      <c r="L198" s="146">
        <v>9146.9410342446226</v>
      </c>
      <c r="M198" s="178"/>
      <c r="N198" s="199"/>
      <c r="O198" s="197"/>
      <c r="P198" s="146"/>
      <c r="Q198" s="146">
        <v>0</v>
      </c>
      <c r="R198" s="30"/>
      <c r="S198" s="199"/>
      <c r="T198" s="197"/>
      <c r="U198" s="146"/>
      <c r="V198" s="146">
        <v>0</v>
      </c>
      <c r="W198" s="30"/>
      <c r="X198" s="199"/>
      <c r="Y198" s="197"/>
      <c r="Z198" s="146"/>
      <c r="AA198" s="146">
        <v>0</v>
      </c>
      <c r="AB198" s="216"/>
      <c r="AC198" s="218"/>
      <c r="AD198" s="176"/>
      <c r="AE198" s="197"/>
      <c r="AF198" s="217"/>
      <c r="AG198" s="146"/>
      <c r="AH198" s="200"/>
      <c r="AI198" s="199"/>
      <c r="AJ198" s="197"/>
      <c r="AK198" s="146"/>
      <c r="AL198" s="146"/>
      <c r="AM198" s="32"/>
      <c r="AN198" s="199"/>
      <c r="AO198" s="197"/>
      <c r="AP198" s="146"/>
      <c r="AQ198" s="146"/>
      <c r="AR198" s="32"/>
      <c r="AS198" s="199"/>
      <c r="AT198" s="197"/>
      <c r="AU198" s="146"/>
      <c r="AV198" s="146"/>
      <c r="AW198" s="30"/>
      <c r="AX198" s="176"/>
      <c r="AY198" s="197"/>
      <c r="AZ198" s="177"/>
      <c r="BA198" s="177">
        <f t="shared" si="8"/>
        <v>0</v>
      </c>
      <c r="BB198" s="9"/>
    </row>
    <row r="199" spans="1:54" ht="58" x14ac:dyDescent="0.35">
      <c r="A199" s="219"/>
      <c r="B199" s="220" t="s">
        <v>223</v>
      </c>
      <c r="C199" s="221"/>
      <c r="D199" s="202"/>
      <c r="E199" s="203">
        <v>0</v>
      </c>
      <c r="F199" s="204">
        <v>0</v>
      </c>
      <c r="G199" s="204">
        <f>G202+G204</f>
        <v>3109.9599516431717</v>
      </c>
      <c r="H199" s="221"/>
      <c r="I199" s="202"/>
      <c r="J199" s="203"/>
      <c r="K199" s="215"/>
      <c r="L199" s="204">
        <f>L202+L204</f>
        <v>1554.9799758215859</v>
      </c>
      <c r="M199" s="207"/>
      <c r="N199" s="202"/>
      <c r="O199" s="203"/>
      <c r="P199" s="206"/>
      <c r="Q199" s="206">
        <f>Q202+Q204</f>
        <v>1554.9799758215859</v>
      </c>
      <c r="R199" s="194"/>
      <c r="S199" s="202"/>
      <c r="T199" s="203"/>
      <c r="U199" s="206"/>
      <c r="V199" s="206">
        <f>V202+V204</f>
        <v>0</v>
      </c>
      <c r="W199" s="194"/>
      <c r="X199" s="202"/>
      <c r="Y199" s="203"/>
      <c r="Z199" s="206"/>
      <c r="AA199" s="206">
        <f>AA202+AA204</f>
        <v>0</v>
      </c>
      <c r="AB199" s="221"/>
      <c r="AC199" s="222"/>
      <c r="AD199" s="202"/>
      <c r="AE199" s="203"/>
      <c r="AF199" s="215"/>
      <c r="AG199" s="206">
        <v>0</v>
      </c>
      <c r="AH199" s="209"/>
      <c r="AI199" s="202"/>
      <c r="AJ199" s="203"/>
      <c r="AK199" s="206"/>
      <c r="AL199" s="206"/>
      <c r="AM199" s="196"/>
      <c r="AN199" s="202"/>
      <c r="AO199" s="203"/>
      <c r="AP199" s="206"/>
      <c r="AQ199" s="206"/>
      <c r="AR199" s="196"/>
      <c r="AS199" s="202"/>
      <c r="AT199" s="203"/>
      <c r="AU199" s="206"/>
      <c r="AV199" s="206"/>
      <c r="AW199" s="194"/>
      <c r="AX199" s="202"/>
      <c r="AY199" s="203"/>
      <c r="AZ199" s="204"/>
      <c r="BA199" s="204">
        <f t="shared" si="8"/>
        <v>0</v>
      </c>
      <c r="BB199" s="9"/>
    </row>
    <row r="200" spans="1:54" hidden="1" x14ac:dyDescent="0.35">
      <c r="A200" s="54"/>
      <c r="B200" s="210" t="s">
        <v>202</v>
      </c>
      <c r="C200" s="42"/>
      <c r="D200" s="199"/>
      <c r="E200" s="197">
        <v>0</v>
      </c>
      <c r="F200" s="177">
        <v>0</v>
      </c>
      <c r="G200" s="177">
        <v>0</v>
      </c>
      <c r="H200" s="42"/>
      <c r="I200" s="199"/>
      <c r="J200" s="197"/>
      <c r="K200" s="198"/>
      <c r="L200" s="146"/>
      <c r="M200" s="178"/>
      <c r="N200" s="199"/>
      <c r="O200" s="197"/>
      <c r="P200" s="146"/>
      <c r="Q200" s="146"/>
      <c r="R200" s="30"/>
      <c r="S200" s="199"/>
      <c r="T200" s="197"/>
      <c r="U200" s="146"/>
      <c r="V200" s="146"/>
      <c r="W200" s="30"/>
      <c r="X200" s="199"/>
      <c r="Y200" s="197"/>
      <c r="Z200" s="146"/>
      <c r="AA200" s="146"/>
      <c r="AB200" s="42"/>
      <c r="AC200" s="46"/>
      <c r="AD200" s="199"/>
      <c r="AE200" s="197"/>
      <c r="AF200" s="198"/>
      <c r="AG200" s="146"/>
      <c r="AH200" s="200"/>
      <c r="AI200" s="199"/>
      <c r="AJ200" s="197"/>
      <c r="AK200" s="146"/>
      <c r="AL200" s="146"/>
      <c r="AM200" s="32"/>
      <c r="AN200" s="199"/>
      <c r="AO200" s="197"/>
      <c r="AP200" s="146"/>
      <c r="AQ200" s="146"/>
      <c r="AR200" s="32"/>
      <c r="AS200" s="199"/>
      <c r="AT200" s="197"/>
      <c r="AU200" s="146"/>
      <c r="AV200" s="146"/>
      <c r="AW200" s="30"/>
      <c r="AX200" s="199"/>
      <c r="AY200" s="197"/>
      <c r="AZ200" s="177"/>
      <c r="BA200" s="177">
        <f t="shared" si="8"/>
        <v>0</v>
      </c>
      <c r="BB200" s="9"/>
    </row>
    <row r="201" spans="1:54" hidden="1" x14ac:dyDescent="0.35">
      <c r="A201" s="54"/>
      <c r="B201" s="55" t="s">
        <v>203</v>
      </c>
      <c r="C201" s="42"/>
      <c r="D201" s="199"/>
      <c r="E201" s="197">
        <v>0</v>
      </c>
      <c r="F201" s="177">
        <v>0</v>
      </c>
      <c r="G201" s="177">
        <v>0</v>
      </c>
      <c r="H201" s="42"/>
      <c r="I201" s="199"/>
      <c r="J201" s="197"/>
      <c r="K201" s="198"/>
      <c r="L201" s="146"/>
      <c r="M201" s="178"/>
      <c r="N201" s="199"/>
      <c r="O201" s="197"/>
      <c r="P201" s="146"/>
      <c r="Q201" s="146"/>
      <c r="R201" s="30"/>
      <c r="S201" s="199"/>
      <c r="T201" s="197"/>
      <c r="U201" s="146"/>
      <c r="V201" s="146"/>
      <c r="W201" s="30"/>
      <c r="X201" s="199"/>
      <c r="Y201" s="197"/>
      <c r="Z201" s="146"/>
      <c r="AA201" s="146"/>
      <c r="AB201" s="42"/>
      <c r="AC201" s="46"/>
      <c r="AD201" s="199"/>
      <c r="AE201" s="197"/>
      <c r="AF201" s="198"/>
      <c r="AG201" s="146"/>
      <c r="AH201" s="200"/>
      <c r="AI201" s="199"/>
      <c r="AJ201" s="197"/>
      <c r="AK201" s="146"/>
      <c r="AL201" s="146"/>
      <c r="AM201" s="32"/>
      <c r="AN201" s="199"/>
      <c r="AO201" s="197"/>
      <c r="AP201" s="146"/>
      <c r="AQ201" s="146"/>
      <c r="AR201" s="32"/>
      <c r="AS201" s="199"/>
      <c r="AT201" s="197"/>
      <c r="AU201" s="146"/>
      <c r="AV201" s="146"/>
      <c r="AW201" s="30"/>
      <c r="AX201" s="199"/>
      <c r="AY201" s="197"/>
      <c r="AZ201" s="177"/>
      <c r="BA201" s="177">
        <f t="shared" si="8"/>
        <v>0</v>
      </c>
      <c r="BB201" s="9"/>
    </row>
    <row r="202" spans="1:54" ht="29" x14ac:dyDescent="0.35">
      <c r="A202" s="54"/>
      <c r="B202" s="55" t="s">
        <v>224</v>
      </c>
      <c r="C202" s="223" t="s">
        <v>27</v>
      </c>
      <c r="D202" s="199"/>
      <c r="E202" s="197">
        <v>48</v>
      </c>
      <c r="F202" s="177">
        <v>45.734705171223112</v>
      </c>
      <c r="G202" s="177">
        <v>2195.2658482187094</v>
      </c>
      <c r="H202" s="223"/>
      <c r="I202" s="176" t="s">
        <v>56</v>
      </c>
      <c r="J202" s="197">
        <v>24</v>
      </c>
      <c r="K202" s="198">
        <v>45.734705171223112</v>
      </c>
      <c r="L202" s="146">
        <v>1097.6329241093547</v>
      </c>
      <c r="M202" s="178"/>
      <c r="N202" s="176" t="s">
        <v>56</v>
      </c>
      <c r="O202" s="197">
        <v>24</v>
      </c>
      <c r="P202" s="198">
        <v>45.734705171223112</v>
      </c>
      <c r="Q202" s="146">
        <v>1097.6329241093547</v>
      </c>
      <c r="R202" s="30"/>
      <c r="S202" s="199"/>
      <c r="T202" s="197"/>
      <c r="U202" s="146"/>
      <c r="V202" s="146"/>
      <c r="W202" s="30"/>
      <c r="X202" s="199"/>
      <c r="Y202" s="197"/>
      <c r="Z202" s="146"/>
      <c r="AA202" s="146"/>
      <c r="AB202" s="223"/>
      <c r="AC202" s="224"/>
      <c r="AD202" s="176"/>
      <c r="AE202" s="197"/>
      <c r="AF202" s="198"/>
      <c r="AG202" s="146"/>
      <c r="AH202" s="200"/>
      <c r="AI202" s="176"/>
      <c r="AJ202" s="197"/>
      <c r="AK202" s="198"/>
      <c r="AL202" s="146"/>
      <c r="AM202" s="32"/>
      <c r="AN202" s="199"/>
      <c r="AO202" s="197"/>
      <c r="AP202" s="146"/>
      <c r="AQ202" s="146"/>
      <c r="AR202" s="32"/>
      <c r="AS202" s="199"/>
      <c r="AT202" s="197"/>
      <c r="AU202" s="146"/>
      <c r="AV202" s="146"/>
      <c r="AW202" s="30"/>
      <c r="AX202" s="199"/>
      <c r="AY202" s="197"/>
      <c r="AZ202" s="177"/>
      <c r="BA202" s="177">
        <f t="shared" si="8"/>
        <v>0</v>
      </c>
      <c r="BB202" s="9"/>
    </row>
    <row r="203" spans="1:54" hidden="1" x14ac:dyDescent="0.35">
      <c r="A203" s="54"/>
      <c r="B203" s="55" t="s">
        <v>211</v>
      </c>
      <c r="C203" s="42"/>
      <c r="D203" s="199"/>
      <c r="E203" s="197">
        <v>0</v>
      </c>
      <c r="F203" s="177">
        <v>0</v>
      </c>
      <c r="G203" s="177">
        <v>0</v>
      </c>
      <c r="H203" s="42"/>
      <c r="I203" s="199"/>
      <c r="J203" s="197"/>
      <c r="K203" s="198"/>
      <c r="L203" s="146"/>
      <c r="M203" s="178"/>
      <c r="N203" s="199"/>
      <c r="O203" s="197"/>
      <c r="P203" s="146"/>
      <c r="Q203" s="146"/>
      <c r="R203" s="30"/>
      <c r="S203" s="199"/>
      <c r="T203" s="197"/>
      <c r="U203" s="146"/>
      <c r="V203" s="146"/>
      <c r="W203" s="30"/>
      <c r="X203" s="199"/>
      <c r="Y203" s="197"/>
      <c r="Z203" s="146"/>
      <c r="AA203" s="146"/>
      <c r="AB203" s="42"/>
      <c r="AC203" s="46"/>
      <c r="AD203" s="199"/>
      <c r="AE203" s="197"/>
      <c r="AF203" s="198"/>
      <c r="AG203" s="146"/>
      <c r="AH203" s="200"/>
      <c r="AI203" s="199"/>
      <c r="AJ203" s="197"/>
      <c r="AK203" s="146"/>
      <c r="AL203" s="146"/>
      <c r="AM203" s="32"/>
      <c r="AN203" s="199"/>
      <c r="AO203" s="197"/>
      <c r="AP203" s="146"/>
      <c r="AQ203" s="146"/>
      <c r="AR203" s="32"/>
      <c r="AS203" s="199"/>
      <c r="AT203" s="197"/>
      <c r="AU203" s="146"/>
      <c r="AV203" s="146"/>
      <c r="AW203" s="30"/>
      <c r="AX203" s="199"/>
      <c r="AY203" s="197"/>
      <c r="AZ203" s="177"/>
      <c r="BA203" s="177">
        <f t="shared" si="8"/>
        <v>0</v>
      </c>
      <c r="BB203" s="9"/>
    </row>
    <row r="204" spans="1:54" x14ac:dyDescent="0.35">
      <c r="A204" s="54"/>
      <c r="B204" s="174" t="s">
        <v>225</v>
      </c>
      <c r="C204" s="223" t="s">
        <v>27</v>
      </c>
      <c r="D204" s="199"/>
      <c r="E204" s="197">
        <v>6</v>
      </c>
      <c r="F204" s="177">
        <v>152.44901723741037</v>
      </c>
      <c r="G204" s="177">
        <v>914.69410342446224</v>
      </c>
      <c r="H204" s="223"/>
      <c r="I204" s="176" t="s">
        <v>103</v>
      </c>
      <c r="J204" s="197">
        <v>3</v>
      </c>
      <c r="K204" s="198">
        <v>152.44901723741037</v>
      </c>
      <c r="L204" s="146">
        <v>457.34705171223112</v>
      </c>
      <c r="M204" s="178"/>
      <c r="N204" s="176" t="s">
        <v>103</v>
      </c>
      <c r="O204" s="197">
        <v>3</v>
      </c>
      <c r="P204" s="198">
        <v>152.44901723741037</v>
      </c>
      <c r="Q204" s="146">
        <v>457.34705171223112</v>
      </c>
      <c r="R204" s="30"/>
      <c r="S204" s="199"/>
      <c r="T204" s="197"/>
      <c r="U204" s="146"/>
      <c r="V204" s="146"/>
      <c r="W204" s="30"/>
      <c r="X204" s="199"/>
      <c r="Y204" s="197"/>
      <c r="Z204" s="146"/>
      <c r="AA204" s="146"/>
      <c r="AB204" s="223"/>
      <c r="AC204" s="224"/>
      <c r="AD204" s="176"/>
      <c r="AE204" s="197"/>
      <c r="AF204" s="198"/>
      <c r="AG204" s="146"/>
      <c r="AH204" s="200"/>
      <c r="AI204" s="176"/>
      <c r="AJ204" s="197"/>
      <c r="AK204" s="198"/>
      <c r="AL204" s="146"/>
      <c r="AM204" s="32"/>
      <c r="AN204" s="199"/>
      <c r="AO204" s="197"/>
      <c r="AP204" s="146"/>
      <c r="AQ204" s="146"/>
      <c r="AR204" s="32"/>
      <c r="AS204" s="199"/>
      <c r="AT204" s="197"/>
      <c r="AU204" s="146"/>
      <c r="AV204" s="146"/>
      <c r="AW204" s="30"/>
      <c r="AX204" s="199"/>
      <c r="AY204" s="197"/>
      <c r="AZ204" s="177"/>
      <c r="BA204" s="177">
        <f t="shared" si="8"/>
        <v>0</v>
      </c>
      <c r="BB204" s="9"/>
    </row>
    <row r="205" spans="1:54" ht="29" x14ac:dyDescent="0.35">
      <c r="A205" s="186"/>
      <c r="B205" s="188" t="s">
        <v>226</v>
      </c>
      <c r="C205" s="189"/>
      <c r="D205" s="214" t="s">
        <v>227</v>
      </c>
      <c r="E205" s="203">
        <v>0</v>
      </c>
      <c r="F205" s="204">
        <v>0</v>
      </c>
      <c r="G205" s="204">
        <v>0</v>
      </c>
      <c r="H205" s="189"/>
      <c r="I205" s="214"/>
      <c r="J205" s="225"/>
      <c r="K205" s="205"/>
      <c r="L205" s="206"/>
      <c r="M205" s="207"/>
      <c r="N205" s="214"/>
      <c r="O205" s="203"/>
      <c r="P205" s="206"/>
      <c r="Q205" s="206">
        <v>0</v>
      </c>
      <c r="R205" s="194"/>
      <c r="S205" s="214" t="s">
        <v>227</v>
      </c>
      <c r="T205" s="203"/>
      <c r="U205" s="206"/>
      <c r="V205" s="206">
        <v>0</v>
      </c>
      <c r="W205" s="194"/>
      <c r="X205" s="214" t="s">
        <v>227</v>
      </c>
      <c r="Y205" s="203"/>
      <c r="Z205" s="206"/>
      <c r="AA205" s="206">
        <v>0</v>
      </c>
      <c r="AB205" s="189"/>
      <c r="AC205" s="195"/>
      <c r="AD205" s="214"/>
      <c r="AE205" s="225"/>
      <c r="AF205" s="205"/>
      <c r="AG205" s="206">
        <v>0</v>
      </c>
      <c r="AH205" s="209"/>
      <c r="AI205" s="214"/>
      <c r="AJ205" s="203"/>
      <c r="AK205" s="206"/>
      <c r="AL205" s="206"/>
      <c r="AM205" s="196"/>
      <c r="AN205" s="214"/>
      <c r="AO205" s="203"/>
      <c r="AP205" s="206"/>
      <c r="AQ205" s="206"/>
      <c r="AR205" s="196"/>
      <c r="AS205" s="214"/>
      <c r="AT205" s="203"/>
      <c r="AU205" s="206"/>
      <c r="AV205" s="206"/>
      <c r="AW205" s="194"/>
      <c r="AX205" s="214"/>
      <c r="AY205" s="203"/>
      <c r="AZ205" s="204"/>
      <c r="BA205" s="204">
        <f t="shared" si="8"/>
        <v>0</v>
      </c>
      <c r="BB205" s="9"/>
    </row>
    <row r="206" spans="1:54" ht="29" x14ac:dyDescent="0.35">
      <c r="A206" s="186"/>
      <c r="B206" s="188" t="s">
        <v>228</v>
      </c>
      <c r="C206" s="189"/>
      <c r="D206" s="226" t="s">
        <v>227</v>
      </c>
      <c r="E206" s="227">
        <v>0</v>
      </c>
      <c r="F206" s="228">
        <v>0</v>
      </c>
      <c r="G206" s="228">
        <f>SUM(G209:G213)</f>
        <v>8712.4613351180033</v>
      </c>
      <c r="H206" s="221"/>
      <c r="I206" s="226"/>
      <c r="J206" s="229"/>
      <c r="K206" s="230"/>
      <c r="L206" s="231">
        <f>SUM(L209:L213)</f>
        <v>4356.2306675590016</v>
      </c>
      <c r="M206" s="207"/>
      <c r="N206" s="226"/>
      <c r="O206" s="227"/>
      <c r="P206" s="231"/>
      <c r="Q206" s="231">
        <f>SUM(Q209:Q213)</f>
        <v>2995.6231887151143</v>
      </c>
      <c r="R206" s="194"/>
      <c r="S206" s="226" t="s">
        <v>227</v>
      </c>
      <c r="T206" s="227"/>
      <c r="U206" s="231"/>
      <c r="V206" s="231">
        <f>SUM(V209:V213)</f>
        <v>1360.6074788438877</v>
      </c>
      <c r="W206" s="194"/>
      <c r="X206" s="226" t="s">
        <v>227</v>
      </c>
      <c r="Y206" s="227"/>
      <c r="Z206" s="231"/>
      <c r="AA206" s="231">
        <f>SUM(AA209:AA213)</f>
        <v>0</v>
      </c>
      <c r="AB206" s="221"/>
      <c r="AC206" s="222"/>
      <c r="AD206" s="226"/>
      <c r="AE206" s="229"/>
      <c r="AF206" s="230"/>
      <c r="AG206" s="231">
        <v>10522.03</v>
      </c>
      <c r="AH206" s="209"/>
      <c r="AI206" s="226"/>
      <c r="AJ206" s="227"/>
      <c r="AK206" s="231"/>
      <c r="AL206" s="231"/>
      <c r="AM206" s="196"/>
      <c r="AN206" s="226"/>
      <c r="AO206" s="227"/>
      <c r="AP206" s="231"/>
      <c r="AQ206" s="231"/>
      <c r="AR206" s="196"/>
      <c r="AS206" s="226"/>
      <c r="AT206" s="227"/>
      <c r="AU206" s="231"/>
      <c r="AV206" s="231"/>
      <c r="AW206" s="194"/>
      <c r="AX206" s="226"/>
      <c r="AY206" s="227"/>
      <c r="AZ206" s="228"/>
      <c r="BA206" s="204">
        <f t="shared" si="8"/>
        <v>10522.03</v>
      </c>
      <c r="BB206" s="9"/>
    </row>
    <row r="207" spans="1:54" hidden="1" x14ac:dyDescent="0.35">
      <c r="A207" s="54"/>
      <c r="B207" s="210" t="s">
        <v>202</v>
      </c>
      <c r="C207" s="42"/>
      <c r="D207" s="199"/>
      <c r="E207" s="197"/>
      <c r="F207" s="146"/>
      <c r="G207" s="146"/>
      <c r="H207" s="42"/>
      <c r="I207" s="199"/>
      <c r="J207" s="197"/>
      <c r="K207" s="198"/>
      <c r="L207" s="146"/>
      <c r="M207" s="232"/>
      <c r="N207" s="199"/>
      <c r="O207" s="197"/>
      <c r="P207" s="146"/>
      <c r="Q207" s="146">
        <v>0</v>
      </c>
      <c r="R207" s="114"/>
      <c r="S207" s="199"/>
      <c r="T207" s="197"/>
      <c r="U207" s="146"/>
      <c r="V207" s="146">
        <v>0</v>
      </c>
      <c r="W207" s="114"/>
      <c r="X207" s="199"/>
      <c r="Y207" s="197"/>
      <c r="Z207" s="146"/>
      <c r="AA207" s="146"/>
      <c r="AB207" s="42"/>
      <c r="AC207" s="46"/>
      <c r="AD207" s="199"/>
      <c r="AE207" s="197"/>
      <c r="AF207" s="198"/>
      <c r="AG207" s="146"/>
      <c r="AH207" s="233"/>
      <c r="AI207" s="199"/>
      <c r="AJ207" s="197"/>
      <c r="AK207" s="146"/>
      <c r="AL207" s="146"/>
      <c r="AM207" s="116"/>
      <c r="AN207" s="199"/>
      <c r="AO207" s="197"/>
      <c r="AP207" s="146"/>
      <c r="AQ207" s="146"/>
      <c r="AR207" s="116"/>
      <c r="AS207" s="199"/>
      <c r="AT207" s="197"/>
      <c r="AU207" s="146"/>
      <c r="AV207" s="146"/>
      <c r="AW207" s="114"/>
      <c r="AX207" s="199"/>
      <c r="AY207" s="197"/>
      <c r="AZ207" s="146"/>
      <c r="BA207" s="177">
        <f t="shared" si="8"/>
        <v>0</v>
      </c>
      <c r="BB207" s="9"/>
    </row>
    <row r="208" spans="1:54" hidden="1" x14ac:dyDescent="0.35">
      <c r="A208" s="54"/>
      <c r="B208" s="55" t="s">
        <v>203</v>
      </c>
      <c r="C208" s="42"/>
      <c r="D208" s="199"/>
      <c r="E208" s="197">
        <v>0</v>
      </c>
      <c r="F208" s="177">
        <v>0</v>
      </c>
      <c r="G208" s="177">
        <v>0</v>
      </c>
      <c r="H208" s="42"/>
      <c r="I208" s="199"/>
      <c r="J208" s="197"/>
      <c r="K208" s="198"/>
      <c r="L208" s="146"/>
      <c r="M208" s="232"/>
      <c r="N208" s="199"/>
      <c r="O208" s="197"/>
      <c r="P208" s="146"/>
      <c r="Q208" s="146">
        <v>0</v>
      </c>
      <c r="R208" s="114"/>
      <c r="S208" s="199"/>
      <c r="T208" s="197"/>
      <c r="U208" s="146"/>
      <c r="V208" s="146">
        <v>0</v>
      </c>
      <c r="W208" s="114"/>
      <c r="X208" s="199"/>
      <c r="Y208" s="197"/>
      <c r="Z208" s="146"/>
      <c r="AA208" s="146"/>
      <c r="AB208" s="42"/>
      <c r="AC208" s="46"/>
      <c r="AD208" s="199"/>
      <c r="AE208" s="197"/>
      <c r="AF208" s="198"/>
      <c r="AG208" s="146"/>
      <c r="AH208" s="233"/>
      <c r="AI208" s="199"/>
      <c r="AJ208" s="197"/>
      <c r="AK208" s="146"/>
      <c r="AL208" s="146"/>
      <c r="AM208" s="116"/>
      <c r="AN208" s="199"/>
      <c r="AO208" s="197"/>
      <c r="AP208" s="146"/>
      <c r="AQ208" s="146"/>
      <c r="AR208" s="116"/>
      <c r="AS208" s="199"/>
      <c r="AT208" s="197"/>
      <c r="AU208" s="146"/>
      <c r="AV208" s="146"/>
      <c r="AW208" s="114"/>
      <c r="AX208" s="199"/>
      <c r="AY208" s="197"/>
      <c r="AZ208" s="177"/>
      <c r="BA208" s="177">
        <f t="shared" si="8"/>
        <v>0</v>
      </c>
      <c r="BB208" s="9"/>
    </row>
    <row r="209" spans="1:54" x14ac:dyDescent="0.35">
      <c r="A209" s="54"/>
      <c r="B209" s="55" t="s">
        <v>229</v>
      </c>
      <c r="C209" s="87" t="s">
        <v>201</v>
      </c>
      <c r="D209" s="176" t="s">
        <v>230</v>
      </c>
      <c r="E209" s="197">
        <v>90</v>
      </c>
      <c r="F209" s="177">
        <v>38.112254309352593</v>
      </c>
      <c r="G209" s="177">
        <v>3430.1028878417333</v>
      </c>
      <c r="H209" s="87"/>
      <c r="I209" s="176" t="s">
        <v>230</v>
      </c>
      <c r="J209" s="234">
        <v>45</v>
      </c>
      <c r="K209" s="198">
        <v>38.112254309352593</v>
      </c>
      <c r="L209" s="146">
        <v>1715.0514439208666</v>
      </c>
      <c r="M209" s="232"/>
      <c r="N209" s="176" t="s">
        <v>230</v>
      </c>
      <c r="O209" s="234">
        <v>30</v>
      </c>
      <c r="P209" s="198">
        <v>38.112254309352593</v>
      </c>
      <c r="Q209" s="146">
        <v>1143.3676292805778</v>
      </c>
      <c r="R209" s="114"/>
      <c r="S209" s="176" t="s">
        <v>230</v>
      </c>
      <c r="T209" s="234">
        <v>15</v>
      </c>
      <c r="U209" s="198">
        <v>38.112254309352593</v>
      </c>
      <c r="V209" s="146">
        <v>571.68381464028892</v>
      </c>
      <c r="W209" s="114"/>
      <c r="X209" s="199"/>
      <c r="Y209" s="197"/>
      <c r="Z209" s="146"/>
      <c r="AA209" s="146"/>
      <c r="AB209" s="87"/>
      <c r="AC209" s="90"/>
      <c r="AD209" s="176"/>
      <c r="AE209" s="234"/>
      <c r="AF209" s="198"/>
      <c r="AG209" s="146"/>
      <c r="AH209" s="233"/>
      <c r="AI209" s="176"/>
      <c r="AJ209" s="234"/>
      <c r="AK209" s="198"/>
      <c r="AL209" s="146"/>
      <c r="AM209" s="116"/>
      <c r="AN209" s="176"/>
      <c r="AO209" s="234"/>
      <c r="AP209" s="198"/>
      <c r="AQ209" s="146"/>
      <c r="AR209" s="116"/>
      <c r="AS209" s="199"/>
      <c r="AT209" s="197"/>
      <c r="AU209" s="146"/>
      <c r="AV209" s="146"/>
      <c r="AW209" s="114"/>
      <c r="AX209" s="176"/>
      <c r="AY209" s="197"/>
      <c r="AZ209" s="177"/>
      <c r="BA209" s="177">
        <f t="shared" si="8"/>
        <v>0</v>
      </c>
      <c r="BB209" s="9"/>
    </row>
    <row r="210" spans="1:54" x14ac:dyDescent="0.35">
      <c r="A210" s="54"/>
      <c r="B210" s="55" t="s">
        <v>231</v>
      </c>
      <c r="C210" s="87" t="s">
        <v>201</v>
      </c>
      <c r="D210" s="176" t="s">
        <v>230</v>
      </c>
      <c r="E210" s="197">
        <v>90</v>
      </c>
      <c r="F210" s="177">
        <v>46.496950257410163</v>
      </c>
      <c r="G210" s="177">
        <v>4184.7255231669151</v>
      </c>
      <c r="H210" s="87"/>
      <c r="I210" s="176" t="s">
        <v>230</v>
      </c>
      <c r="J210" s="234">
        <v>45</v>
      </c>
      <c r="K210" s="198">
        <v>46.496950257410163</v>
      </c>
      <c r="L210" s="146">
        <v>2092.3627615834575</v>
      </c>
      <c r="M210" s="232"/>
      <c r="N210" s="176" t="s">
        <v>230</v>
      </c>
      <c r="O210" s="234">
        <v>30</v>
      </c>
      <c r="P210" s="198">
        <v>46.496950257410163</v>
      </c>
      <c r="Q210" s="146">
        <v>1394.9085077223049</v>
      </c>
      <c r="R210" s="114"/>
      <c r="S210" s="176" t="s">
        <v>230</v>
      </c>
      <c r="T210" s="234">
        <v>15</v>
      </c>
      <c r="U210" s="198">
        <v>46.496950257410163</v>
      </c>
      <c r="V210" s="146">
        <v>697.45425386115244</v>
      </c>
      <c r="W210" s="114"/>
      <c r="X210" s="199"/>
      <c r="Y210" s="197"/>
      <c r="Z210" s="146"/>
      <c r="AA210" s="146"/>
      <c r="AB210" s="87"/>
      <c r="AC210" s="90"/>
      <c r="AD210" s="176"/>
      <c r="AE210" s="234"/>
      <c r="AF210" s="198"/>
      <c r="AG210" s="146"/>
      <c r="AH210" s="233"/>
      <c r="AI210" s="176"/>
      <c r="AJ210" s="234"/>
      <c r="AK210" s="198"/>
      <c r="AL210" s="146"/>
      <c r="AM210" s="116"/>
      <c r="AN210" s="176"/>
      <c r="AO210" s="234"/>
      <c r="AP210" s="198"/>
      <c r="AQ210" s="146"/>
      <c r="AR210" s="116"/>
      <c r="AS210" s="199"/>
      <c r="AT210" s="197"/>
      <c r="AU210" s="146"/>
      <c r="AV210" s="146"/>
      <c r="AW210" s="114"/>
      <c r="AX210" s="176"/>
      <c r="AY210" s="197"/>
      <c r="AZ210" s="177"/>
      <c r="BA210" s="177">
        <f t="shared" si="8"/>
        <v>0</v>
      </c>
      <c r="BB210" s="9"/>
    </row>
    <row r="211" spans="1:54" x14ac:dyDescent="0.35">
      <c r="A211" s="54"/>
      <c r="B211" s="55" t="s">
        <v>232</v>
      </c>
      <c r="C211" s="87" t="s">
        <v>201</v>
      </c>
      <c r="D211" s="176" t="s">
        <v>70</v>
      </c>
      <c r="E211" s="197">
        <v>60</v>
      </c>
      <c r="F211" s="177">
        <v>1.5244901723741038</v>
      </c>
      <c r="G211" s="177">
        <v>91.469410342446224</v>
      </c>
      <c r="H211" s="87"/>
      <c r="I211" s="176" t="s">
        <v>70</v>
      </c>
      <c r="J211" s="234">
        <v>30</v>
      </c>
      <c r="K211" s="198">
        <v>1.5244901723741038</v>
      </c>
      <c r="L211" s="146">
        <v>45.734705171223112</v>
      </c>
      <c r="M211" s="232"/>
      <c r="N211" s="176" t="s">
        <v>70</v>
      </c>
      <c r="O211" s="234">
        <v>20</v>
      </c>
      <c r="P211" s="198">
        <v>1.5244901723741038</v>
      </c>
      <c r="Q211" s="146">
        <v>30.489803447482075</v>
      </c>
      <c r="R211" s="114"/>
      <c r="S211" s="176" t="s">
        <v>70</v>
      </c>
      <c r="T211" s="234">
        <v>10</v>
      </c>
      <c r="U211" s="198">
        <v>1.5244901723741038</v>
      </c>
      <c r="V211" s="146">
        <v>15.244901723741037</v>
      </c>
      <c r="W211" s="114"/>
      <c r="X211" s="199"/>
      <c r="Y211" s="197"/>
      <c r="Z211" s="146"/>
      <c r="AA211" s="146"/>
      <c r="AB211" s="87"/>
      <c r="AC211" s="90"/>
      <c r="AD211" s="176"/>
      <c r="AE211" s="234"/>
      <c r="AF211" s="198"/>
      <c r="AG211" s="146"/>
      <c r="AH211" s="233"/>
      <c r="AI211" s="176"/>
      <c r="AJ211" s="234"/>
      <c r="AK211" s="198"/>
      <c r="AL211" s="146"/>
      <c r="AM211" s="116"/>
      <c r="AN211" s="176"/>
      <c r="AO211" s="234"/>
      <c r="AP211" s="198"/>
      <c r="AQ211" s="146"/>
      <c r="AR211" s="116"/>
      <c r="AS211" s="199"/>
      <c r="AT211" s="197"/>
      <c r="AU211" s="146"/>
      <c r="AV211" s="146"/>
      <c r="AW211" s="114"/>
      <c r="AX211" s="176"/>
      <c r="AY211" s="197"/>
      <c r="AZ211" s="177"/>
      <c r="BA211" s="177">
        <f t="shared" si="8"/>
        <v>0</v>
      </c>
      <c r="BB211" s="9"/>
    </row>
    <row r="212" spans="1:54" x14ac:dyDescent="0.35">
      <c r="A212" s="54"/>
      <c r="B212" s="174" t="s">
        <v>233</v>
      </c>
      <c r="C212" s="87" t="s">
        <v>201</v>
      </c>
      <c r="D212" s="176" t="s">
        <v>56</v>
      </c>
      <c r="E212" s="197">
        <v>60</v>
      </c>
      <c r="F212" s="177">
        <v>7.6224508618705187</v>
      </c>
      <c r="G212" s="177">
        <v>457.34705171223112</v>
      </c>
      <c r="H212" s="87"/>
      <c r="I212" s="176" t="s">
        <v>214</v>
      </c>
      <c r="J212" s="234">
        <v>30</v>
      </c>
      <c r="K212" s="198">
        <v>7.6224508618705187</v>
      </c>
      <c r="L212" s="146">
        <v>228.67352585611556</v>
      </c>
      <c r="M212" s="232"/>
      <c r="N212" s="176" t="s">
        <v>214</v>
      </c>
      <c r="O212" s="234">
        <v>20</v>
      </c>
      <c r="P212" s="198">
        <v>7.6224508618705187</v>
      </c>
      <c r="Q212" s="146">
        <v>152.44901723741037</v>
      </c>
      <c r="R212" s="114"/>
      <c r="S212" s="176" t="s">
        <v>214</v>
      </c>
      <c r="T212" s="234">
        <v>10</v>
      </c>
      <c r="U212" s="198">
        <v>7.6224508618705187</v>
      </c>
      <c r="V212" s="146">
        <v>76.224508618705187</v>
      </c>
      <c r="W212" s="114"/>
      <c r="X212" s="199"/>
      <c r="Y212" s="197"/>
      <c r="Z212" s="146"/>
      <c r="AA212" s="146"/>
      <c r="AB212" s="87"/>
      <c r="AC212" s="90"/>
      <c r="AD212" s="176"/>
      <c r="AE212" s="234"/>
      <c r="AF212" s="198"/>
      <c r="AG212" s="146"/>
      <c r="AH212" s="233"/>
      <c r="AI212" s="176"/>
      <c r="AJ212" s="234"/>
      <c r="AK212" s="198"/>
      <c r="AL212" s="146"/>
      <c r="AM212" s="116"/>
      <c r="AN212" s="176"/>
      <c r="AO212" s="234"/>
      <c r="AP212" s="198"/>
      <c r="AQ212" s="146"/>
      <c r="AR212" s="116"/>
      <c r="AS212" s="199"/>
      <c r="AT212" s="197"/>
      <c r="AU212" s="146"/>
      <c r="AV212" s="146"/>
      <c r="AW212" s="114"/>
      <c r="AX212" s="176"/>
      <c r="AY212" s="197"/>
      <c r="AZ212" s="177"/>
      <c r="BA212" s="177">
        <f t="shared" si="8"/>
        <v>0</v>
      </c>
      <c r="BB212" s="9"/>
    </row>
    <row r="213" spans="1:54" s="30" customFormat="1" ht="28.5" customHeight="1" x14ac:dyDescent="0.35">
      <c r="A213" s="54"/>
      <c r="B213" s="174" t="s">
        <v>234</v>
      </c>
      <c r="C213" s="87" t="s">
        <v>201</v>
      </c>
      <c r="D213" s="176" t="s">
        <v>56</v>
      </c>
      <c r="E213" s="197">
        <v>12</v>
      </c>
      <c r="F213" s="177">
        <v>45.734705171223112</v>
      </c>
      <c r="G213" s="177">
        <v>548.81646205467734</v>
      </c>
      <c r="H213" s="87"/>
      <c r="I213" s="176" t="s">
        <v>56</v>
      </c>
      <c r="J213" s="234">
        <v>6</v>
      </c>
      <c r="K213" s="198">
        <v>45.734705171223112</v>
      </c>
      <c r="L213" s="146">
        <v>274.40823102733867</v>
      </c>
      <c r="M213" s="232"/>
      <c r="N213" s="176" t="s">
        <v>56</v>
      </c>
      <c r="O213" s="234">
        <v>6</v>
      </c>
      <c r="P213" s="198">
        <v>45.734705171223112</v>
      </c>
      <c r="Q213" s="146">
        <v>274.40823102733867</v>
      </c>
      <c r="R213" s="114"/>
      <c r="S213" s="199"/>
      <c r="T213" s="197"/>
      <c r="U213" s="146"/>
      <c r="V213" s="146">
        <v>0</v>
      </c>
      <c r="W213" s="114"/>
      <c r="X213" s="199"/>
      <c r="Y213" s="197"/>
      <c r="Z213" s="146"/>
      <c r="AA213" s="146"/>
      <c r="AB213" s="87"/>
      <c r="AC213" s="90"/>
      <c r="AD213" s="176"/>
      <c r="AE213" s="234"/>
      <c r="AF213" s="198"/>
      <c r="AG213" s="146"/>
      <c r="AH213" s="233"/>
      <c r="AI213" s="176"/>
      <c r="AJ213" s="234"/>
      <c r="AK213" s="198"/>
      <c r="AL213" s="146"/>
      <c r="AM213" s="116"/>
      <c r="AN213" s="199"/>
      <c r="AO213" s="197"/>
      <c r="AP213" s="146"/>
      <c r="AQ213" s="146"/>
      <c r="AR213" s="116"/>
      <c r="AS213" s="199"/>
      <c r="AT213" s="197"/>
      <c r="AU213" s="146"/>
      <c r="AV213" s="146"/>
      <c r="AW213" s="114"/>
      <c r="AX213" s="176"/>
      <c r="AY213" s="197"/>
      <c r="AZ213" s="177"/>
      <c r="BA213" s="177">
        <f t="shared" si="8"/>
        <v>0</v>
      </c>
      <c r="BB213" s="9"/>
    </row>
    <row r="214" spans="1:54" ht="25.5" customHeight="1" x14ac:dyDescent="0.35">
      <c r="A214" s="186"/>
      <c r="B214" s="188" t="s">
        <v>235</v>
      </c>
      <c r="C214" s="189"/>
      <c r="D214" s="214" t="s">
        <v>227</v>
      </c>
      <c r="E214" s="203">
        <v>0</v>
      </c>
      <c r="F214" s="204">
        <v>0</v>
      </c>
      <c r="G214" s="204">
        <f>SUM(G217:G223)</f>
        <v>353472.10259209067</v>
      </c>
      <c r="H214" s="189"/>
      <c r="I214" s="214"/>
      <c r="J214" s="225"/>
      <c r="K214" s="205"/>
      <c r="L214" s="206">
        <f>SUM(L217:L223)</f>
        <v>244951.26967164001</v>
      </c>
      <c r="M214" s="235"/>
      <c r="N214" s="214"/>
      <c r="O214" s="203"/>
      <c r="P214" s="206"/>
      <c r="Q214" s="206">
        <f>SUM(Q217:Q223)</f>
        <v>81907.045736229658</v>
      </c>
      <c r="R214" s="236"/>
      <c r="S214" s="214" t="s">
        <v>227</v>
      </c>
      <c r="T214" s="203"/>
      <c r="U214" s="206"/>
      <c r="V214" s="206">
        <f>SUM(V217:V223)</f>
        <v>26613.787184220921</v>
      </c>
      <c r="W214" s="236"/>
      <c r="X214" s="214" t="s">
        <v>227</v>
      </c>
      <c r="Y214" s="203"/>
      <c r="Z214" s="206"/>
      <c r="AA214" s="206">
        <f>SUM(AA217:AA223)</f>
        <v>0</v>
      </c>
      <c r="AB214" s="189"/>
      <c r="AC214" s="195"/>
      <c r="AD214" s="214"/>
      <c r="AE214" s="225"/>
      <c r="AF214" s="205"/>
      <c r="AG214" s="206">
        <v>0</v>
      </c>
      <c r="AH214" s="237"/>
      <c r="AI214" s="214"/>
      <c r="AJ214" s="203"/>
      <c r="AK214" s="206"/>
      <c r="AL214" s="206"/>
      <c r="AM214" s="238"/>
      <c r="AN214" s="214"/>
      <c r="AO214" s="203"/>
      <c r="AP214" s="206"/>
      <c r="AQ214" s="206"/>
      <c r="AR214" s="238"/>
      <c r="AS214" s="214"/>
      <c r="AT214" s="203"/>
      <c r="AU214" s="206"/>
      <c r="AV214" s="206"/>
      <c r="AW214" s="236"/>
      <c r="AX214" s="214"/>
      <c r="AY214" s="203"/>
      <c r="AZ214" s="204"/>
      <c r="BA214" s="204">
        <f t="shared" si="8"/>
        <v>0</v>
      </c>
      <c r="BB214" s="9"/>
    </row>
    <row r="215" spans="1:54" hidden="1" x14ac:dyDescent="0.35">
      <c r="A215" s="54"/>
      <c r="B215" s="210" t="s">
        <v>202</v>
      </c>
      <c r="C215" s="42"/>
      <c r="D215" s="199"/>
      <c r="E215" s="197"/>
      <c r="F215" s="146"/>
      <c r="G215" s="146"/>
      <c r="H215" s="42"/>
      <c r="I215" s="199"/>
      <c r="J215" s="197"/>
      <c r="K215" s="198"/>
      <c r="L215" s="146"/>
      <c r="M215" s="232"/>
      <c r="N215" s="199"/>
      <c r="O215" s="197"/>
      <c r="P215" s="146"/>
      <c r="Q215" s="146">
        <v>0</v>
      </c>
      <c r="R215" s="114"/>
      <c r="S215" s="199"/>
      <c r="T215" s="197"/>
      <c r="U215" s="146"/>
      <c r="V215" s="146">
        <v>0</v>
      </c>
      <c r="W215" s="114"/>
      <c r="X215" s="199"/>
      <c r="Y215" s="197"/>
      <c r="Z215" s="146"/>
      <c r="AA215" s="146"/>
      <c r="AB215" s="42"/>
      <c r="AC215" s="46"/>
      <c r="AD215" s="199"/>
      <c r="AE215" s="197"/>
      <c r="AF215" s="198"/>
      <c r="AG215" s="146"/>
      <c r="AH215" s="233"/>
      <c r="AI215" s="199"/>
      <c r="AJ215" s="197"/>
      <c r="AK215" s="146"/>
      <c r="AL215" s="146"/>
      <c r="AM215" s="116"/>
      <c r="AN215" s="199"/>
      <c r="AO215" s="197"/>
      <c r="AP215" s="146"/>
      <c r="AQ215" s="146"/>
      <c r="AR215" s="116"/>
      <c r="AS215" s="199"/>
      <c r="AT215" s="197"/>
      <c r="AU215" s="146"/>
      <c r="AV215" s="146"/>
      <c r="AW215" s="114"/>
      <c r="AX215" s="199"/>
      <c r="AY215" s="197"/>
      <c r="AZ215" s="146"/>
      <c r="BA215" s="177">
        <f t="shared" si="8"/>
        <v>0</v>
      </c>
      <c r="BB215" s="9"/>
    </row>
    <row r="216" spans="1:54" hidden="1" x14ac:dyDescent="0.35">
      <c r="A216" s="54"/>
      <c r="B216" s="55" t="s">
        <v>203</v>
      </c>
      <c r="C216" s="42"/>
      <c r="D216" s="199"/>
      <c r="E216" s="197">
        <v>0</v>
      </c>
      <c r="F216" s="177">
        <v>0</v>
      </c>
      <c r="G216" s="177">
        <v>0</v>
      </c>
      <c r="H216" s="42"/>
      <c r="I216" s="199"/>
      <c r="J216" s="197"/>
      <c r="K216" s="198"/>
      <c r="L216" s="146"/>
      <c r="M216" s="232"/>
      <c r="N216" s="199"/>
      <c r="O216" s="197"/>
      <c r="P216" s="146"/>
      <c r="Q216" s="146">
        <v>0</v>
      </c>
      <c r="R216" s="114"/>
      <c r="S216" s="199"/>
      <c r="T216" s="197"/>
      <c r="U216" s="146"/>
      <c r="V216" s="146">
        <v>0</v>
      </c>
      <c r="W216" s="114"/>
      <c r="X216" s="199"/>
      <c r="Y216" s="197"/>
      <c r="Z216" s="146"/>
      <c r="AA216" s="146"/>
      <c r="AB216" s="42"/>
      <c r="AC216" s="46"/>
      <c r="AD216" s="199"/>
      <c r="AE216" s="197"/>
      <c r="AF216" s="198"/>
      <c r="AG216" s="146"/>
      <c r="AH216" s="233"/>
      <c r="AI216" s="199"/>
      <c r="AJ216" s="197"/>
      <c r="AK216" s="146"/>
      <c r="AL216" s="146"/>
      <c r="AM216" s="116"/>
      <c r="AN216" s="199"/>
      <c r="AO216" s="197"/>
      <c r="AP216" s="146"/>
      <c r="AQ216" s="146"/>
      <c r="AR216" s="116"/>
      <c r="AS216" s="199"/>
      <c r="AT216" s="197"/>
      <c r="AU216" s="146"/>
      <c r="AV216" s="146"/>
      <c r="AW216" s="114"/>
      <c r="AX216" s="199"/>
      <c r="AY216" s="197"/>
      <c r="AZ216" s="177"/>
      <c r="BA216" s="177">
        <f t="shared" si="8"/>
        <v>0</v>
      </c>
      <c r="BB216" s="9"/>
    </row>
    <row r="217" spans="1:54" s="30" customFormat="1" x14ac:dyDescent="0.35">
      <c r="A217" s="54"/>
      <c r="B217" s="55" t="s">
        <v>236</v>
      </c>
      <c r="C217" s="87" t="s">
        <v>201</v>
      </c>
      <c r="D217" s="176" t="s">
        <v>230</v>
      </c>
      <c r="E217" s="197">
        <v>90</v>
      </c>
      <c r="F217" s="177">
        <v>38.112254309352593</v>
      </c>
      <c r="G217" s="177">
        <v>3430.1028878417333</v>
      </c>
      <c r="H217" s="87"/>
      <c r="I217" s="176" t="s">
        <v>230</v>
      </c>
      <c r="J217" s="234">
        <v>45</v>
      </c>
      <c r="K217" s="198">
        <v>38.112254309352593</v>
      </c>
      <c r="L217" s="146">
        <v>1715.0514439208666</v>
      </c>
      <c r="M217" s="232"/>
      <c r="N217" s="176" t="s">
        <v>230</v>
      </c>
      <c r="O217" s="234">
        <v>30</v>
      </c>
      <c r="P217" s="198">
        <v>38.112254309352593</v>
      </c>
      <c r="Q217" s="146">
        <v>1143.3676292805778</v>
      </c>
      <c r="R217" s="114"/>
      <c r="S217" s="176" t="s">
        <v>230</v>
      </c>
      <c r="T217" s="234">
        <v>15</v>
      </c>
      <c r="U217" s="198">
        <v>38.112254309352593</v>
      </c>
      <c r="V217" s="146">
        <v>571.68381464028892</v>
      </c>
      <c r="W217" s="114"/>
      <c r="X217" s="199"/>
      <c r="Y217" s="197"/>
      <c r="Z217" s="146"/>
      <c r="AA217" s="146"/>
      <c r="AB217" s="87"/>
      <c r="AC217" s="90"/>
      <c r="AD217" s="176"/>
      <c r="AE217" s="234"/>
      <c r="AF217" s="198"/>
      <c r="AG217" s="146"/>
      <c r="AH217" s="233"/>
      <c r="AI217" s="176"/>
      <c r="AJ217" s="234"/>
      <c r="AK217" s="198"/>
      <c r="AL217" s="146"/>
      <c r="AM217" s="116"/>
      <c r="AN217" s="176"/>
      <c r="AO217" s="234"/>
      <c r="AP217" s="198"/>
      <c r="AQ217" s="146"/>
      <c r="AR217" s="116"/>
      <c r="AS217" s="199"/>
      <c r="AT217" s="197"/>
      <c r="AU217" s="146"/>
      <c r="AV217" s="146"/>
      <c r="AW217" s="114"/>
      <c r="AX217" s="176"/>
      <c r="AY217" s="197"/>
      <c r="AZ217" s="177"/>
      <c r="BA217" s="177">
        <f t="shared" si="8"/>
        <v>0</v>
      </c>
      <c r="BB217" s="9"/>
    </row>
    <row r="218" spans="1:54" s="30" customFormat="1" ht="29" x14ac:dyDescent="0.35">
      <c r="A218" s="54"/>
      <c r="B218" s="55" t="s">
        <v>237</v>
      </c>
      <c r="C218" s="87" t="s">
        <v>201</v>
      </c>
      <c r="D218" s="176" t="s">
        <v>230</v>
      </c>
      <c r="E218" s="197">
        <v>90</v>
      </c>
      <c r="F218" s="177">
        <v>15.244901723741037</v>
      </c>
      <c r="G218" s="177">
        <v>1372.0411551366933</v>
      </c>
      <c r="H218" s="87"/>
      <c r="I218" s="176" t="s">
        <v>230</v>
      </c>
      <c r="J218" s="234">
        <v>45</v>
      </c>
      <c r="K218" s="198">
        <v>15.244901723741037</v>
      </c>
      <c r="L218" s="146">
        <v>686.02057756834665</v>
      </c>
      <c r="M218" s="232"/>
      <c r="N218" s="176" t="s">
        <v>230</v>
      </c>
      <c r="O218" s="234">
        <v>30</v>
      </c>
      <c r="P218" s="198">
        <v>15.244901723741037</v>
      </c>
      <c r="Q218" s="146">
        <v>457.34705171223112</v>
      </c>
      <c r="R218" s="114"/>
      <c r="S218" s="176" t="s">
        <v>230</v>
      </c>
      <c r="T218" s="234">
        <v>15</v>
      </c>
      <c r="U218" s="198">
        <v>15.244901723741037</v>
      </c>
      <c r="V218" s="146">
        <v>228.67352585611556</v>
      </c>
      <c r="W218" s="114"/>
      <c r="X218" s="199"/>
      <c r="Y218" s="197"/>
      <c r="Z218" s="146"/>
      <c r="AA218" s="146"/>
      <c r="AB218" s="87"/>
      <c r="AC218" s="90"/>
      <c r="AD218" s="176"/>
      <c r="AE218" s="234"/>
      <c r="AF218" s="198"/>
      <c r="AG218" s="146"/>
      <c r="AH218" s="233"/>
      <c r="AI218" s="176"/>
      <c r="AJ218" s="234"/>
      <c r="AK218" s="198"/>
      <c r="AL218" s="146"/>
      <c r="AM218" s="116"/>
      <c r="AN218" s="176"/>
      <c r="AO218" s="234"/>
      <c r="AP218" s="198"/>
      <c r="AQ218" s="146"/>
      <c r="AR218" s="116"/>
      <c r="AS218" s="199"/>
      <c r="AT218" s="197"/>
      <c r="AU218" s="146"/>
      <c r="AV218" s="146"/>
      <c r="AW218" s="114"/>
      <c r="AX218" s="176"/>
      <c r="AY218" s="197"/>
      <c r="AZ218" s="177"/>
      <c r="BA218" s="177">
        <f t="shared" si="8"/>
        <v>0</v>
      </c>
      <c r="BB218" s="9"/>
    </row>
    <row r="219" spans="1:54" s="30" customFormat="1" x14ac:dyDescent="0.35">
      <c r="A219" s="54"/>
      <c r="B219" s="55" t="s">
        <v>238</v>
      </c>
      <c r="C219" s="87" t="s">
        <v>201</v>
      </c>
      <c r="D219" s="176" t="s">
        <v>230</v>
      </c>
      <c r="E219" s="197">
        <v>255</v>
      </c>
      <c r="F219" s="177">
        <v>46.496950257410163</v>
      </c>
      <c r="G219" s="177">
        <v>11856.722315639592</v>
      </c>
      <c r="H219" s="87"/>
      <c r="I219" s="176" t="s">
        <v>230</v>
      </c>
      <c r="J219" s="234">
        <v>105</v>
      </c>
      <c r="K219" s="198">
        <v>46.496950257410163</v>
      </c>
      <c r="L219" s="146">
        <v>4882.1797770280673</v>
      </c>
      <c r="M219" s="232"/>
      <c r="N219" s="176" t="s">
        <v>230</v>
      </c>
      <c r="O219" s="234">
        <v>105</v>
      </c>
      <c r="P219" s="198">
        <v>46.496950257410163</v>
      </c>
      <c r="Q219" s="146">
        <v>4882.1797770280673</v>
      </c>
      <c r="R219" s="114"/>
      <c r="S219" s="176" t="s">
        <v>230</v>
      </c>
      <c r="T219" s="234">
        <v>45</v>
      </c>
      <c r="U219" s="198">
        <v>46.496950257410163</v>
      </c>
      <c r="V219" s="146">
        <v>2092.3627615834575</v>
      </c>
      <c r="W219" s="114"/>
      <c r="X219" s="199"/>
      <c r="Y219" s="197"/>
      <c r="Z219" s="146"/>
      <c r="AA219" s="146"/>
      <c r="AB219" s="87"/>
      <c r="AC219" s="90"/>
      <c r="AD219" s="176"/>
      <c r="AE219" s="234"/>
      <c r="AF219" s="198"/>
      <c r="AG219" s="146"/>
      <c r="AH219" s="233"/>
      <c r="AI219" s="176"/>
      <c r="AJ219" s="234"/>
      <c r="AK219" s="198"/>
      <c r="AL219" s="146"/>
      <c r="AM219" s="116"/>
      <c r="AN219" s="176"/>
      <c r="AO219" s="234"/>
      <c r="AP219" s="198"/>
      <c r="AQ219" s="146"/>
      <c r="AR219" s="116"/>
      <c r="AS219" s="199"/>
      <c r="AT219" s="197"/>
      <c r="AU219" s="146"/>
      <c r="AV219" s="146"/>
      <c r="AW219" s="114"/>
      <c r="AX219" s="176"/>
      <c r="AY219" s="197"/>
      <c r="AZ219" s="177"/>
      <c r="BA219" s="177">
        <f t="shared" si="8"/>
        <v>0</v>
      </c>
      <c r="BB219" s="9"/>
    </row>
    <row r="220" spans="1:54" s="30" customFormat="1" ht="29.25" customHeight="1" x14ac:dyDescent="0.35">
      <c r="A220" s="54"/>
      <c r="B220" s="55" t="s">
        <v>239</v>
      </c>
      <c r="C220" s="87" t="s">
        <v>201</v>
      </c>
      <c r="D220" s="176" t="s">
        <v>230</v>
      </c>
      <c r="E220" s="197">
        <v>7047</v>
      </c>
      <c r="F220" s="177">
        <v>38.112254309352593</v>
      </c>
      <c r="G220" s="177">
        <v>268577.05611800775</v>
      </c>
      <c r="H220" s="87"/>
      <c r="I220" s="176" t="s">
        <v>230</v>
      </c>
      <c r="J220" s="234">
        <v>5085</v>
      </c>
      <c r="K220" s="198">
        <v>38.112254309352593</v>
      </c>
      <c r="L220" s="146">
        <v>193800.81316305793</v>
      </c>
      <c r="M220" s="232"/>
      <c r="N220" s="176" t="s">
        <v>230</v>
      </c>
      <c r="O220" s="234">
        <v>1530</v>
      </c>
      <c r="P220" s="198">
        <v>38.112254309352593</v>
      </c>
      <c r="Q220" s="146">
        <v>58311.749093309467</v>
      </c>
      <c r="R220" s="114"/>
      <c r="S220" s="176" t="s">
        <v>230</v>
      </c>
      <c r="T220" s="234">
        <v>432</v>
      </c>
      <c r="U220" s="198">
        <v>38.112254309352593</v>
      </c>
      <c r="V220" s="146">
        <v>16464.49386164032</v>
      </c>
      <c r="W220" s="114"/>
      <c r="X220" s="199"/>
      <c r="Y220" s="197"/>
      <c r="Z220" s="146"/>
      <c r="AA220" s="146"/>
      <c r="AB220" s="87"/>
      <c r="AC220" s="90"/>
      <c r="AD220" s="176"/>
      <c r="AE220" s="234"/>
      <c r="AF220" s="198"/>
      <c r="AG220" s="146"/>
      <c r="AH220" s="233"/>
      <c r="AI220" s="176"/>
      <c r="AJ220" s="234"/>
      <c r="AK220" s="198"/>
      <c r="AL220" s="146"/>
      <c r="AM220" s="116"/>
      <c r="AN220" s="176"/>
      <c r="AO220" s="234"/>
      <c r="AP220" s="198"/>
      <c r="AQ220" s="146"/>
      <c r="AR220" s="116"/>
      <c r="AS220" s="199"/>
      <c r="AT220" s="197"/>
      <c r="AU220" s="146"/>
      <c r="AV220" s="146"/>
      <c r="AW220" s="114"/>
      <c r="AX220" s="176"/>
      <c r="AY220" s="197"/>
      <c r="AZ220" s="177"/>
      <c r="BA220" s="177">
        <f t="shared" si="8"/>
        <v>0</v>
      </c>
      <c r="BB220" s="9"/>
    </row>
    <row r="221" spans="1:54" s="30" customFormat="1" ht="29.25" customHeight="1" x14ac:dyDescent="0.35">
      <c r="A221" s="54"/>
      <c r="B221" s="55" t="s">
        <v>240</v>
      </c>
      <c r="C221" s="87" t="s">
        <v>201</v>
      </c>
      <c r="D221" s="176" t="s">
        <v>230</v>
      </c>
      <c r="E221" s="197">
        <v>210</v>
      </c>
      <c r="F221" s="177">
        <v>7.6224508618705187</v>
      </c>
      <c r="G221" s="177">
        <v>1600.714680992809</v>
      </c>
      <c r="H221" s="87"/>
      <c r="I221" s="176" t="s">
        <v>230</v>
      </c>
      <c r="J221" s="234">
        <v>70</v>
      </c>
      <c r="K221" s="198">
        <v>7.6224508618705187</v>
      </c>
      <c r="L221" s="146">
        <v>533.57156033093634</v>
      </c>
      <c r="M221" s="232"/>
      <c r="N221" s="176" t="s">
        <v>230</v>
      </c>
      <c r="O221" s="234">
        <v>70</v>
      </c>
      <c r="P221" s="198">
        <v>7.6224508618705187</v>
      </c>
      <c r="Q221" s="146">
        <v>533.57156033093634</v>
      </c>
      <c r="R221" s="114"/>
      <c r="S221" s="176" t="s">
        <v>230</v>
      </c>
      <c r="T221" s="234">
        <v>70</v>
      </c>
      <c r="U221" s="198">
        <v>7.6224508618705187</v>
      </c>
      <c r="V221" s="146">
        <v>533.57156033093634</v>
      </c>
      <c r="W221" s="114"/>
      <c r="X221" s="199"/>
      <c r="Y221" s="197"/>
      <c r="Z221" s="146"/>
      <c r="AA221" s="146"/>
      <c r="AB221" s="87"/>
      <c r="AC221" s="90"/>
      <c r="AD221" s="176"/>
      <c r="AE221" s="234"/>
      <c r="AF221" s="198"/>
      <c r="AG221" s="146"/>
      <c r="AH221" s="233"/>
      <c r="AI221" s="176"/>
      <c r="AJ221" s="234"/>
      <c r="AK221" s="198"/>
      <c r="AL221" s="146"/>
      <c r="AM221" s="116"/>
      <c r="AN221" s="176"/>
      <c r="AO221" s="234"/>
      <c r="AP221" s="198"/>
      <c r="AQ221" s="146"/>
      <c r="AR221" s="116"/>
      <c r="AS221" s="199"/>
      <c r="AT221" s="197"/>
      <c r="AU221" s="146"/>
      <c r="AV221" s="146"/>
      <c r="AW221" s="114"/>
      <c r="AX221" s="176"/>
      <c r="AY221" s="197"/>
      <c r="AZ221" s="177"/>
      <c r="BA221" s="177">
        <f t="shared" si="8"/>
        <v>0</v>
      </c>
      <c r="BB221" s="9"/>
    </row>
    <row r="222" spans="1:54" s="30" customFormat="1" x14ac:dyDescent="0.35">
      <c r="A222" s="54"/>
      <c r="B222" s="174" t="s">
        <v>241</v>
      </c>
      <c r="C222" s="87" t="s">
        <v>201</v>
      </c>
      <c r="D222" s="176" t="s">
        <v>56</v>
      </c>
      <c r="E222" s="197">
        <v>7572</v>
      </c>
      <c r="F222" s="177">
        <v>7.6224508618705187</v>
      </c>
      <c r="G222" s="177">
        <v>57717.197926083565</v>
      </c>
      <c r="H222" s="87"/>
      <c r="I222" s="176" t="s">
        <v>214</v>
      </c>
      <c r="J222" s="234">
        <v>5415</v>
      </c>
      <c r="K222" s="198">
        <v>7.6224508618705187</v>
      </c>
      <c r="L222" s="146">
        <v>41275.571417028856</v>
      </c>
      <c r="M222" s="232"/>
      <c r="N222" s="176" t="s">
        <v>214</v>
      </c>
      <c r="O222" s="234">
        <v>1635</v>
      </c>
      <c r="P222" s="198">
        <v>7.6224508618705187</v>
      </c>
      <c r="Q222" s="146">
        <v>12462.707159158297</v>
      </c>
      <c r="R222" s="114"/>
      <c r="S222" s="176" t="s">
        <v>214</v>
      </c>
      <c r="T222" s="234">
        <v>522</v>
      </c>
      <c r="U222" s="198">
        <v>7.6224508618705187</v>
      </c>
      <c r="V222" s="146">
        <v>3978.9193498964109</v>
      </c>
      <c r="W222" s="114"/>
      <c r="X222" s="199"/>
      <c r="Y222" s="197"/>
      <c r="Z222" s="146"/>
      <c r="AA222" s="146"/>
      <c r="AB222" s="87"/>
      <c r="AC222" s="90"/>
      <c r="AD222" s="176"/>
      <c r="AE222" s="234"/>
      <c r="AF222" s="198"/>
      <c r="AG222" s="146"/>
      <c r="AH222" s="233"/>
      <c r="AI222" s="176"/>
      <c r="AJ222" s="234"/>
      <c r="AK222" s="198"/>
      <c r="AL222" s="146"/>
      <c r="AM222" s="116"/>
      <c r="AN222" s="176"/>
      <c r="AO222" s="234"/>
      <c r="AP222" s="198"/>
      <c r="AQ222" s="146"/>
      <c r="AR222" s="116"/>
      <c r="AS222" s="199"/>
      <c r="AT222" s="197"/>
      <c r="AU222" s="146"/>
      <c r="AV222" s="146"/>
      <c r="AW222" s="114"/>
      <c r="AX222" s="176"/>
      <c r="AY222" s="197"/>
      <c r="AZ222" s="177"/>
      <c r="BA222" s="177">
        <f t="shared" si="8"/>
        <v>0</v>
      </c>
      <c r="BB222" s="9"/>
    </row>
    <row r="223" spans="1:54" s="30" customFormat="1" x14ac:dyDescent="0.35">
      <c r="A223" s="54"/>
      <c r="B223" s="174" t="s">
        <v>242</v>
      </c>
      <c r="C223" s="87" t="s">
        <v>201</v>
      </c>
      <c r="D223" s="176" t="s">
        <v>56</v>
      </c>
      <c r="E223" s="197">
        <v>195</v>
      </c>
      <c r="F223" s="177">
        <v>45.734705171223112</v>
      </c>
      <c r="G223" s="177">
        <v>8918.267508388506</v>
      </c>
      <c r="H223" s="87"/>
      <c r="I223" s="176" t="s">
        <v>56</v>
      </c>
      <c r="J223" s="234">
        <v>45</v>
      </c>
      <c r="K223" s="198">
        <v>45.734705171223112</v>
      </c>
      <c r="L223" s="146">
        <v>2058.06173270504</v>
      </c>
      <c r="M223" s="232"/>
      <c r="N223" s="176" t="s">
        <v>56</v>
      </c>
      <c r="O223" s="234">
        <v>90</v>
      </c>
      <c r="P223" s="198">
        <v>45.734705171223112</v>
      </c>
      <c r="Q223" s="146">
        <v>4116.1234654100799</v>
      </c>
      <c r="R223" s="114"/>
      <c r="S223" s="176" t="s">
        <v>56</v>
      </c>
      <c r="T223" s="234">
        <v>60</v>
      </c>
      <c r="U223" s="198">
        <v>45.734705171223112</v>
      </c>
      <c r="V223" s="146">
        <v>2744.0823102733866</v>
      </c>
      <c r="W223" s="114"/>
      <c r="X223" s="199"/>
      <c r="Y223" s="197"/>
      <c r="Z223" s="146"/>
      <c r="AA223" s="146"/>
      <c r="AB223" s="87"/>
      <c r="AC223" s="90"/>
      <c r="AD223" s="176"/>
      <c r="AE223" s="234"/>
      <c r="AF223" s="198"/>
      <c r="AG223" s="146"/>
      <c r="AH223" s="233"/>
      <c r="AI223" s="176"/>
      <c r="AJ223" s="234"/>
      <c r="AK223" s="198"/>
      <c r="AL223" s="146"/>
      <c r="AM223" s="116"/>
      <c r="AN223" s="176"/>
      <c r="AO223" s="234"/>
      <c r="AP223" s="198"/>
      <c r="AQ223" s="146"/>
      <c r="AR223" s="116"/>
      <c r="AS223" s="199"/>
      <c r="AT223" s="197"/>
      <c r="AU223" s="146"/>
      <c r="AV223" s="146"/>
      <c r="AW223" s="114"/>
      <c r="AX223" s="176"/>
      <c r="AY223" s="197"/>
      <c r="AZ223" s="177"/>
      <c r="BA223" s="177">
        <f t="shared" si="8"/>
        <v>0</v>
      </c>
      <c r="BB223" s="9"/>
    </row>
    <row r="224" spans="1:54" ht="29" x14ac:dyDescent="0.35">
      <c r="A224" s="186"/>
      <c r="B224" s="188" t="s">
        <v>243</v>
      </c>
      <c r="C224" s="189"/>
      <c r="D224" s="239"/>
      <c r="E224" s="240"/>
      <c r="F224" s="241"/>
      <c r="G224" s="241">
        <f>SUM(G225:G229)</f>
        <v>10671.431206618727</v>
      </c>
      <c r="H224" s="242"/>
      <c r="I224" s="239"/>
      <c r="J224" s="240"/>
      <c r="K224" s="243"/>
      <c r="L224" s="244">
        <f>SUM(L225:L229)</f>
        <v>0</v>
      </c>
      <c r="M224" s="207"/>
      <c r="N224" s="239"/>
      <c r="O224" s="245"/>
      <c r="P224" s="246"/>
      <c r="Q224" s="247">
        <f>SUM(Q225:Q229)</f>
        <v>4573.4705171223113</v>
      </c>
      <c r="R224" s="194"/>
      <c r="S224" s="239"/>
      <c r="T224" s="245"/>
      <c r="U224" s="246"/>
      <c r="V224" s="247">
        <f>SUM(V225:V229)</f>
        <v>3048.9803447482072</v>
      </c>
      <c r="W224" s="194"/>
      <c r="X224" s="239"/>
      <c r="Y224" s="245"/>
      <c r="Z224" s="246"/>
      <c r="AA224" s="247">
        <f>SUM(AA225:AA229)</f>
        <v>3048.9803447482072</v>
      </c>
      <c r="AB224" s="242"/>
      <c r="AC224" s="248"/>
      <c r="AD224" s="239"/>
      <c r="AE224" s="240"/>
      <c r="AF224" s="243"/>
      <c r="AG224" s="244">
        <v>0</v>
      </c>
      <c r="AH224" s="209"/>
      <c r="AI224" s="239"/>
      <c r="AJ224" s="245"/>
      <c r="AK224" s="246"/>
      <c r="AL224" s="247"/>
      <c r="AM224" s="196"/>
      <c r="AN224" s="239"/>
      <c r="AO224" s="245"/>
      <c r="AP224" s="246"/>
      <c r="AQ224" s="247"/>
      <c r="AR224" s="196"/>
      <c r="AS224" s="239"/>
      <c r="AT224" s="245"/>
      <c r="AU224" s="246"/>
      <c r="AV224" s="247"/>
      <c r="AW224" s="194"/>
      <c r="AX224" s="239"/>
      <c r="AY224" s="240"/>
      <c r="AZ224" s="241"/>
      <c r="BA224" s="204">
        <f t="shared" si="8"/>
        <v>0</v>
      </c>
      <c r="BB224" s="9"/>
    </row>
    <row r="225" spans="1:54" x14ac:dyDescent="0.35">
      <c r="A225" s="54"/>
      <c r="B225" s="210" t="s">
        <v>202</v>
      </c>
      <c r="C225" s="42"/>
      <c r="D225" s="199"/>
      <c r="E225" s="197"/>
      <c r="F225" s="146"/>
      <c r="G225" s="146"/>
      <c r="H225" s="42"/>
      <c r="I225" s="199"/>
      <c r="J225" s="197"/>
      <c r="K225" s="198"/>
      <c r="L225" s="146"/>
      <c r="M225" s="178"/>
      <c r="N225" s="199"/>
      <c r="O225" s="197"/>
      <c r="P225" s="146"/>
      <c r="Q225" s="146"/>
      <c r="R225" s="30"/>
      <c r="S225" s="199"/>
      <c r="T225" s="197"/>
      <c r="U225" s="146"/>
      <c r="V225" s="146"/>
      <c r="W225" s="30"/>
      <c r="X225" s="199"/>
      <c r="Y225" s="197"/>
      <c r="Z225" s="146"/>
      <c r="AA225" s="146"/>
      <c r="AB225" s="42"/>
      <c r="AC225" s="46"/>
      <c r="AD225" s="199"/>
      <c r="AE225" s="197"/>
      <c r="AF225" s="198"/>
      <c r="AG225" s="146"/>
      <c r="AH225" s="200"/>
      <c r="AI225" s="199"/>
      <c r="AJ225" s="197"/>
      <c r="AK225" s="146"/>
      <c r="AL225" s="146"/>
      <c r="AM225" s="32"/>
      <c r="AN225" s="199"/>
      <c r="AO225" s="197"/>
      <c r="AP225" s="146"/>
      <c r="AQ225" s="146"/>
      <c r="AR225" s="32"/>
      <c r="AS225" s="199"/>
      <c r="AT225" s="197"/>
      <c r="AU225" s="146"/>
      <c r="AV225" s="146"/>
      <c r="AW225" s="30"/>
      <c r="AX225" s="199"/>
      <c r="AY225" s="197"/>
      <c r="AZ225" s="146"/>
      <c r="BA225" s="177">
        <f t="shared" si="8"/>
        <v>0</v>
      </c>
      <c r="BB225" s="9"/>
    </row>
    <row r="226" spans="1:54" x14ac:dyDescent="0.35">
      <c r="A226" s="54"/>
      <c r="B226" s="55" t="s">
        <v>203</v>
      </c>
      <c r="C226" s="42"/>
      <c r="D226" s="199"/>
      <c r="E226" s="197"/>
      <c r="F226" s="146"/>
      <c r="G226" s="146"/>
      <c r="H226" s="42"/>
      <c r="I226" s="199"/>
      <c r="J226" s="197"/>
      <c r="K226" s="198"/>
      <c r="L226" s="146"/>
      <c r="M226" s="178"/>
      <c r="N226" s="199"/>
      <c r="O226" s="197"/>
      <c r="P226" s="146"/>
      <c r="Q226" s="146"/>
      <c r="R226" s="30"/>
      <c r="S226" s="199"/>
      <c r="T226" s="197"/>
      <c r="U226" s="146"/>
      <c r="V226" s="146"/>
      <c r="W226" s="30"/>
      <c r="X226" s="199"/>
      <c r="Y226" s="197"/>
      <c r="Z226" s="146"/>
      <c r="AA226" s="146"/>
      <c r="AB226" s="42"/>
      <c r="AC226" s="46"/>
      <c r="AD226" s="199"/>
      <c r="AE226" s="197"/>
      <c r="AF226" s="198"/>
      <c r="AG226" s="146"/>
      <c r="AH226" s="200"/>
      <c r="AI226" s="199"/>
      <c r="AJ226" s="197"/>
      <c r="AK226" s="146"/>
      <c r="AL226" s="146"/>
      <c r="AM226" s="32"/>
      <c r="AN226" s="199"/>
      <c r="AO226" s="197"/>
      <c r="AP226" s="146"/>
      <c r="AQ226" s="146"/>
      <c r="AR226" s="32"/>
      <c r="AS226" s="199"/>
      <c r="AT226" s="197"/>
      <c r="AU226" s="146"/>
      <c r="AV226" s="146"/>
      <c r="AW226" s="30"/>
      <c r="AX226" s="199"/>
      <c r="AY226" s="197"/>
      <c r="AZ226" s="146"/>
      <c r="BA226" s="177">
        <f t="shared" si="8"/>
        <v>0</v>
      </c>
      <c r="BB226" s="9"/>
    </row>
    <row r="227" spans="1:54" x14ac:dyDescent="0.35">
      <c r="A227" s="54"/>
      <c r="B227" s="55" t="s">
        <v>244</v>
      </c>
      <c r="C227" s="87" t="s">
        <v>201</v>
      </c>
      <c r="D227" s="176" t="s">
        <v>245</v>
      </c>
      <c r="E227" s="197">
        <v>280</v>
      </c>
      <c r="F227" s="177">
        <v>38.112254309352593</v>
      </c>
      <c r="G227" s="177">
        <v>10671.431206618727</v>
      </c>
      <c r="H227" s="87"/>
      <c r="I227" s="176" t="s">
        <v>245</v>
      </c>
      <c r="J227" s="197">
        <v>0</v>
      </c>
      <c r="K227" s="198">
        <v>0</v>
      </c>
      <c r="L227" s="146">
        <v>0</v>
      </c>
      <c r="M227" s="178"/>
      <c r="N227" s="176" t="s">
        <v>245</v>
      </c>
      <c r="O227" s="249">
        <v>120</v>
      </c>
      <c r="P227" s="250">
        <v>38.112254309352593</v>
      </c>
      <c r="Q227" s="146">
        <v>4573.4705171223113</v>
      </c>
      <c r="R227" s="30"/>
      <c r="S227" s="176" t="s">
        <v>245</v>
      </c>
      <c r="T227" s="249">
        <v>80</v>
      </c>
      <c r="U227" s="250">
        <v>38.112254309352593</v>
      </c>
      <c r="V227" s="146">
        <v>3048.9803447482072</v>
      </c>
      <c r="W227" s="30"/>
      <c r="X227" s="176" t="s">
        <v>245</v>
      </c>
      <c r="Y227" s="249">
        <v>80</v>
      </c>
      <c r="Z227" s="250">
        <v>38.112254309352593</v>
      </c>
      <c r="AA227" s="146">
        <v>3048.9803447482072</v>
      </c>
      <c r="AB227" s="87"/>
      <c r="AC227" s="90"/>
      <c r="AD227" s="176"/>
      <c r="AE227" s="197"/>
      <c r="AF227" s="198"/>
      <c r="AG227" s="146"/>
      <c r="AH227" s="200"/>
      <c r="AI227" s="176"/>
      <c r="AJ227" s="249"/>
      <c r="AK227" s="250"/>
      <c r="AL227" s="146"/>
      <c r="AM227" s="32"/>
      <c r="AN227" s="176"/>
      <c r="AO227" s="249"/>
      <c r="AP227" s="250"/>
      <c r="AQ227" s="146"/>
      <c r="AR227" s="32"/>
      <c r="AS227" s="176"/>
      <c r="AT227" s="249"/>
      <c r="AU227" s="250"/>
      <c r="AV227" s="146"/>
      <c r="AW227" s="30"/>
      <c r="AX227" s="176"/>
      <c r="AY227" s="197"/>
      <c r="AZ227" s="177"/>
      <c r="BA227" s="177">
        <f t="shared" si="8"/>
        <v>0</v>
      </c>
      <c r="BB227" s="9"/>
    </row>
    <row r="228" spans="1:54" x14ac:dyDescent="0.35">
      <c r="A228" s="54"/>
      <c r="B228" s="55" t="s">
        <v>211</v>
      </c>
      <c r="C228" s="42"/>
      <c r="D228" s="199"/>
      <c r="E228" s="197"/>
      <c r="F228" s="146"/>
      <c r="G228" s="146"/>
      <c r="H228" s="42"/>
      <c r="I228" s="199"/>
      <c r="J228" s="197"/>
      <c r="K228" s="198"/>
      <c r="L228" s="146"/>
      <c r="M228" s="178"/>
      <c r="N228" s="199"/>
      <c r="O228" s="197"/>
      <c r="P228" s="146"/>
      <c r="Q228" s="146"/>
      <c r="R228" s="30"/>
      <c r="S228" s="199"/>
      <c r="T228" s="197"/>
      <c r="U228" s="146"/>
      <c r="V228" s="146"/>
      <c r="W228" s="30"/>
      <c r="X228" s="199"/>
      <c r="Y228" s="197"/>
      <c r="Z228" s="146"/>
      <c r="AA228" s="146"/>
      <c r="AB228" s="42"/>
      <c r="AC228" s="46"/>
      <c r="AD228" s="199"/>
      <c r="AE228" s="197"/>
      <c r="AF228" s="198"/>
      <c r="AG228" s="146"/>
      <c r="AH228" s="200"/>
      <c r="AI228" s="199"/>
      <c r="AJ228" s="197"/>
      <c r="AK228" s="146"/>
      <c r="AL228" s="146"/>
      <c r="AM228" s="32"/>
      <c r="AN228" s="199"/>
      <c r="AO228" s="197"/>
      <c r="AP228" s="146"/>
      <c r="AQ228" s="146"/>
      <c r="AR228" s="32"/>
      <c r="AS228" s="199"/>
      <c r="AT228" s="197"/>
      <c r="AU228" s="146"/>
      <c r="AV228" s="146"/>
      <c r="AW228" s="30"/>
      <c r="AX228" s="199"/>
      <c r="AY228" s="197"/>
      <c r="AZ228" s="146"/>
      <c r="BA228" s="177">
        <f t="shared" si="8"/>
        <v>0</v>
      </c>
      <c r="BB228" s="9"/>
    </row>
    <row r="229" spans="1:54" x14ac:dyDescent="0.35">
      <c r="A229" s="54"/>
      <c r="B229" s="174" t="s">
        <v>246</v>
      </c>
      <c r="C229" s="42"/>
      <c r="D229" s="199"/>
      <c r="E229" s="197"/>
      <c r="F229" s="146"/>
      <c r="G229" s="146"/>
      <c r="H229" s="42"/>
      <c r="I229" s="199"/>
      <c r="J229" s="197"/>
      <c r="K229" s="198"/>
      <c r="L229" s="146"/>
      <c r="M229" s="178"/>
      <c r="N229" s="199"/>
      <c r="O229" s="197"/>
      <c r="P229" s="146"/>
      <c r="Q229" s="146"/>
      <c r="R229" s="30"/>
      <c r="S229" s="199"/>
      <c r="T229" s="197"/>
      <c r="U229" s="146"/>
      <c r="V229" s="146"/>
      <c r="W229" s="30"/>
      <c r="X229" s="199"/>
      <c r="Y229" s="197"/>
      <c r="Z229" s="146"/>
      <c r="AA229" s="146"/>
      <c r="AB229" s="42"/>
      <c r="AC229" s="46"/>
      <c r="AD229" s="199"/>
      <c r="AE229" s="197"/>
      <c r="AF229" s="198"/>
      <c r="AG229" s="146"/>
      <c r="AH229" s="200"/>
      <c r="AI229" s="199"/>
      <c r="AJ229" s="197"/>
      <c r="AK229" s="146"/>
      <c r="AL229" s="146"/>
      <c r="AM229" s="32"/>
      <c r="AN229" s="199"/>
      <c r="AO229" s="197"/>
      <c r="AP229" s="146"/>
      <c r="AQ229" s="146"/>
      <c r="AR229" s="32"/>
      <c r="AS229" s="199"/>
      <c r="AT229" s="197"/>
      <c r="AU229" s="146"/>
      <c r="AV229" s="146"/>
      <c r="AW229" s="30"/>
      <c r="AX229" s="199"/>
      <c r="AY229" s="197"/>
      <c r="AZ229" s="146"/>
      <c r="BA229" s="177">
        <f t="shared" si="8"/>
        <v>0</v>
      </c>
      <c r="BB229" s="9"/>
    </row>
    <row r="230" spans="1:54" ht="29" x14ac:dyDescent="0.35">
      <c r="A230" s="186"/>
      <c r="B230" s="188" t="s">
        <v>247</v>
      </c>
      <c r="C230" s="189"/>
      <c r="D230" s="214"/>
      <c r="E230" s="203"/>
      <c r="F230" s="204"/>
      <c r="G230" s="204">
        <f>SUM(G231:G239)</f>
        <v>123388.42332652902</v>
      </c>
      <c r="H230" s="189"/>
      <c r="I230" s="214"/>
      <c r="J230" s="203"/>
      <c r="K230" s="215"/>
      <c r="L230" s="206">
        <f>SUM(L231:L239)</f>
        <v>0</v>
      </c>
      <c r="M230" s="207"/>
      <c r="N230" s="214"/>
      <c r="O230" s="203"/>
      <c r="P230" s="206"/>
      <c r="Q230" s="206">
        <f>SUM(Q231:Q239)</f>
        <v>0</v>
      </c>
      <c r="R230" s="194"/>
      <c r="S230" s="214"/>
      <c r="T230" s="225"/>
      <c r="U230" s="208"/>
      <c r="V230" s="206">
        <f>SUM(V231:V239)</f>
        <v>123388.42332652902</v>
      </c>
      <c r="W230" s="194"/>
      <c r="X230" s="214"/>
      <c r="Y230" s="203"/>
      <c r="Z230" s="206"/>
      <c r="AA230" s="206">
        <f>SUM(AA231:AA239)</f>
        <v>0</v>
      </c>
      <c r="AB230" s="189"/>
      <c r="AC230" s="195"/>
      <c r="AD230" s="214"/>
      <c r="AE230" s="203"/>
      <c r="AF230" s="215"/>
      <c r="AG230" s="206">
        <v>0</v>
      </c>
      <c r="AH230" s="209"/>
      <c r="AI230" s="214"/>
      <c r="AJ230" s="203"/>
      <c r="AK230" s="206"/>
      <c r="AL230" s="206"/>
      <c r="AM230" s="196"/>
      <c r="AN230" s="214"/>
      <c r="AO230" s="225"/>
      <c r="AP230" s="208"/>
      <c r="AQ230" s="206"/>
      <c r="AR230" s="196"/>
      <c r="AS230" s="214"/>
      <c r="AT230" s="203"/>
      <c r="AU230" s="206"/>
      <c r="AV230" s="206"/>
      <c r="AW230" s="194"/>
      <c r="AX230" s="214"/>
      <c r="AY230" s="203"/>
      <c r="AZ230" s="204"/>
      <c r="BA230" s="204">
        <f t="shared" si="8"/>
        <v>0</v>
      </c>
      <c r="BB230" s="9"/>
    </row>
    <row r="231" spans="1:54" x14ac:dyDescent="0.35">
      <c r="A231" s="54"/>
      <c r="B231" s="210" t="s">
        <v>202</v>
      </c>
      <c r="C231" s="42"/>
      <c r="D231" s="199"/>
      <c r="E231" s="197"/>
      <c r="F231" s="146"/>
      <c r="G231" s="146"/>
      <c r="H231" s="42"/>
      <c r="I231" s="199"/>
      <c r="J231" s="197"/>
      <c r="K231" s="198"/>
      <c r="L231" s="146"/>
      <c r="M231" s="178"/>
      <c r="N231" s="199"/>
      <c r="O231" s="197"/>
      <c r="P231" s="146"/>
      <c r="Q231" s="146"/>
      <c r="R231" s="30"/>
      <c r="S231" s="199"/>
      <c r="T231" s="197"/>
      <c r="U231" s="146"/>
      <c r="V231" s="146"/>
      <c r="W231" s="30"/>
      <c r="X231" s="199"/>
      <c r="Y231" s="197"/>
      <c r="Z231" s="146"/>
      <c r="AA231" s="146"/>
      <c r="AB231" s="42"/>
      <c r="AC231" s="46"/>
      <c r="AD231" s="199"/>
      <c r="AE231" s="197"/>
      <c r="AF231" s="198"/>
      <c r="AG231" s="146"/>
      <c r="AH231" s="200"/>
      <c r="AI231" s="199"/>
      <c r="AJ231" s="197"/>
      <c r="AK231" s="146"/>
      <c r="AL231" s="146"/>
      <c r="AM231" s="32"/>
      <c r="AN231" s="199"/>
      <c r="AO231" s="197"/>
      <c r="AP231" s="146"/>
      <c r="AQ231" s="146"/>
      <c r="AR231" s="32"/>
      <c r="AS231" s="199"/>
      <c r="AT231" s="197"/>
      <c r="AU231" s="146"/>
      <c r="AV231" s="146"/>
      <c r="AW231" s="30"/>
      <c r="AX231" s="199"/>
      <c r="AY231" s="197"/>
      <c r="AZ231" s="146"/>
      <c r="BA231" s="177">
        <f t="shared" si="8"/>
        <v>0</v>
      </c>
      <c r="BB231" s="9"/>
    </row>
    <row r="232" spans="1:54" x14ac:dyDescent="0.35">
      <c r="A232" s="54"/>
      <c r="B232" s="55" t="s">
        <v>203</v>
      </c>
      <c r="C232" s="42"/>
      <c r="D232" s="199"/>
      <c r="E232" s="197">
        <v>0</v>
      </c>
      <c r="F232" s="177">
        <v>0</v>
      </c>
      <c r="G232" s="177">
        <v>0</v>
      </c>
      <c r="H232" s="42"/>
      <c r="I232" s="199"/>
      <c r="J232" s="197"/>
      <c r="K232" s="198"/>
      <c r="L232" s="146"/>
      <c r="M232" s="178"/>
      <c r="N232" s="199"/>
      <c r="O232" s="197"/>
      <c r="P232" s="146"/>
      <c r="Q232" s="146"/>
      <c r="R232" s="30"/>
      <c r="S232" s="199"/>
      <c r="T232" s="197"/>
      <c r="U232" s="146"/>
      <c r="V232" s="146"/>
      <c r="W232" s="30"/>
      <c r="X232" s="199"/>
      <c r="Y232" s="197"/>
      <c r="Z232" s="146"/>
      <c r="AA232" s="146"/>
      <c r="AB232" s="42"/>
      <c r="AC232" s="46"/>
      <c r="AD232" s="199"/>
      <c r="AE232" s="197"/>
      <c r="AF232" s="198"/>
      <c r="AG232" s="146"/>
      <c r="AH232" s="200"/>
      <c r="AI232" s="199"/>
      <c r="AJ232" s="197"/>
      <c r="AK232" s="146"/>
      <c r="AL232" s="146"/>
      <c r="AM232" s="32"/>
      <c r="AN232" s="199"/>
      <c r="AO232" s="197"/>
      <c r="AP232" s="146"/>
      <c r="AQ232" s="146"/>
      <c r="AR232" s="32"/>
      <c r="AS232" s="199"/>
      <c r="AT232" s="197"/>
      <c r="AU232" s="146"/>
      <c r="AV232" s="146"/>
      <c r="AW232" s="30"/>
      <c r="AX232" s="199"/>
      <c r="AY232" s="197"/>
      <c r="AZ232" s="177"/>
      <c r="BA232" s="177">
        <f t="shared" si="8"/>
        <v>0</v>
      </c>
      <c r="BB232" s="9"/>
    </row>
    <row r="233" spans="1:54" x14ac:dyDescent="0.35">
      <c r="A233" s="54"/>
      <c r="B233" s="55" t="s">
        <v>248</v>
      </c>
      <c r="C233" s="87" t="s">
        <v>201</v>
      </c>
      <c r="D233" s="176" t="s">
        <v>230</v>
      </c>
      <c r="E233" s="197">
        <v>100</v>
      </c>
      <c r="F233" s="177">
        <v>38.112254309352593</v>
      </c>
      <c r="G233" s="177">
        <v>3811.2254309352593</v>
      </c>
      <c r="H233" s="87"/>
      <c r="I233" s="176" t="s">
        <v>230</v>
      </c>
      <c r="J233" s="234"/>
      <c r="K233" s="251">
        <v>38.112254309352593</v>
      </c>
      <c r="L233" s="212">
        <v>0</v>
      </c>
      <c r="M233" s="178"/>
      <c r="N233" s="199"/>
      <c r="O233" s="197"/>
      <c r="P233" s="146"/>
      <c r="Q233" s="146"/>
      <c r="R233" s="30"/>
      <c r="S233" s="176" t="s">
        <v>230</v>
      </c>
      <c r="T233" s="197">
        <v>100</v>
      </c>
      <c r="U233" s="146">
        <v>38.112254309352593</v>
      </c>
      <c r="V233" s="146">
        <v>3811.2254309352593</v>
      </c>
      <c r="W233" s="30"/>
      <c r="X233" s="199"/>
      <c r="Y233" s="197"/>
      <c r="Z233" s="146"/>
      <c r="AA233" s="146"/>
      <c r="AB233" s="87"/>
      <c r="AC233" s="90"/>
      <c r="AD233" s="176"/>
      <c r="AE233" s="234"/>
      <c r="AF233" s="251"/>
      <c r="AG233" s="212"/>
      <c r="AH233" s="200"/>
      <c r="AI233" s="199"/>
      <c r="AJ233" s="197"/>
      <c r="AK233" s="146"/>
      <c r="AL233" s="146"/>
      <c r="AM233" s="32"/>
      <c r="AN233" s="176"/>
      <c r="AO233" s="197"/>
      <c r="AP233" s="146"/>
      <c r="AQ233" s="146"/>
      <c r="AR233" s="32"/>
      <c r="AS233" s="199"/>
      <c r="AT233" s="197"/>
      <c r="AU233" s="146"/>
      <c r="AV233" s="146"/>
      <c r="AW233" s="30"/>
      <c r="AX233" s="176"/>
      <c r="AY233" s="197"/>
      <c r="AZ233" s="177"/>
      <c r="BA233" s="177">
        <f t="shared" si="8"/>
        <v>0</v>
      </c>
      <c r="BB233" s="9"/>
    </row>
    <row r="234" spans="1:54" ht="29" x14ac:dyDescent="0.35">
      <c r="A234" s="54"/>
      <c r="B234" s="55" t="s">
        <v>249</v>
      </c>
      <c r="C234" s="87" t="s">
        <v>201</v>
      </c>
      <c r="D234" s="176" t="s">
        <v>230</v>
      </c>
      <c r="E234" s="197">
        <v>100</v>
      </c>
      <c r="F234" s="177">
        <v>15.244901723741037</v>
      </c>
      <c r="G234" s="177">
        <v>1524.4901723741036</v>
      </c>
      <c r="H234" s="87"/>
      <c r="I234" s="176" t="s">
        <v>230</v>
      </c>
      <c r="J234" s="234"/>
      <c r="K234" s="251">
        <v>15.244901723741037</v>
      </c>
      <c r="L234" s="212">
        <v>0</v>
      </c>
      <c r="M234" s="178"/>
      <c r="N234" s="199"/>
      <c r="O234" s="197"/>
      <c r="P234" s="146"/>
      <c r="Q234" s="146"/>
      <c r="R234" s="30"/>
      <c r="S234" s="176" t="s">
        <v>230</v>
      </c>
      <c r="T234" s="197">
        <v>100</v>
      </c>
      <c r="U234" s="146">
        <v>15.244901723741037</v>
      </c>
      <c r="V234" s="146">
        <v>1524.4901723741036</v>
      </c>
      <c r="W234" s="30"/>
      <c r="X234" s="199"/>
      <c r="Y234" s="197"/>
      <c r="Z234" s="146"/>
      <c r="AA234" s="146"/>
      <c r="AB234" s="87"/>
      <c r="AC234" s="90"/>
      <c r="AD234" s="176"/>
      <c r="AE234" s="234"/>
      <c r="AF234" s="251"/>
      <c r="AG234" s="212"/>
      <c r="AH234" s="200"/>
      <c r="AI234" s="199"/>
      <c r="AJ234" s="197"/>
      <c r="AK234" s="146"/>
      <c r="AL234" s="146"/>
      <c r="AM234" s="32"/>
      <c r="AN234" s="176"/>
      <c r="AO234" s="197"/>
      <c r="AP234" s="146"/>
      <c r="AQ234" s="146"/>
      <c r="AR234" s="32"/>
      <c r="AS234" s="199"/>
      <c r="AT234" s="197"/>
      <c r="AU234" s="146"/>
      <c r="AV234" s="146"/>
      <c r="AW234" s="30"/>
      <c r="AX234" s="176"/>
      <c r="AY234" s="197"/>
      <c r="AZ234" s="177"/>
      <c r="BA234" s="177">
        <f t="shared" si="8"/>
        <v>0</v>
      </c>
      <c r="BB234" s="9"/>
    </row>
    <row r="235" spans="1:54" x14ac:dyDescent="0.35">
      <c r="A235" s="54"/>
      <c r="B235" s="55" t="s">
        <v>250</v>
      </c>
      <c r="C235" s="87" t="s">
        <v>201</v>
      </c>
      <c r="D235" s="176" t="s">
        <v>230</v>
      </c>
      <c r="E235" s="197">
        <v>35</v>
      </c>
      <c r="F235" s="177">
        <v>46.496950257410163</v>
      </c>
      <c r="G235" s="177">
        <v>1627.3932590093557</v>
      </c>
      <c r="H235" s="87"/>
      <c r="I235" s="176" t="s">
        <v>230</v>
      </c>
      <c r="J235" s="234"/>
      <c r="K235" s="251">
        <v>46.496950257410163</v>
      </c>
      <c r="L235" s="212">
        <v>0</v>
      </c>
      <c r="M235" s="178"/>
      <c r="N235" s="199"/>
      <c r="O235" s="197"/>
      <c r="P235" s="146"/>
      <c r="Q235" s="146"/>
      <c r="R235" s="30"/>
      <c r="S235" s="176" t="s">
        <v>230</v>
      </c>
      <c r="T235" s="197">
        <v>35</v>
      </c>
      <c r="U235" s="146">
        <v>46.496950257410163</v>
      </c>
      <c r="V235" s="146">
        <v>1627.3932590093557</v>
      </c>
      <c r="W235" s="30"/>
      <c r="X235" s="199"/>
      <c r="Y235" s="197"/>
      <c r="Z235" s="146"/>
      <c r="AA235" s="146"/>
      <c r="AB235" s="87"/>
      <c r="AC235" s="90"/>
      <c r="AD235" s="176"/>
      <c r="AE235" s="234"/>
      <c r="AF235" s="251"/>
      <c r="AG235" s="212"/>
      <c r="AH235" s="200"/>
      <c r="AI235" s="199"/>
      <c r="AJ235" s="197"/>
      <c r="AK235" s="146"/>
      <c r="AL235" s="146"/>
      <c r="AM235" s="32"/>
      <c r="AN235" s="176"/>
      <c r="AO235" s="197"/>
      <c r="AP235" s="146"/>
      <c r="AQ235" s="146"/>
      <c r="AR235" s="32"/>
      <c r="AS235" s="199"/>
      <c r="AT235" s="197"/>
      <c r="AU235" s="146"/>
      <c r="AV235" s="146"/>
      <c r="AW235" s="30"/>
      <c r="AX235" s="176"/>
      <c r="AY235" s="197"/>
      <c r="AZ235" s="177"/>
      <c r="BA235" s="177">
        <f t="shared" si="8"/>
        <v>0</v>
      </c>
      <c r="BB235" s="9"/>
    </row>
    <row r="236" spans="1:54" ht="27" customHeight="1" x14ac:dyDescent="0.35">
      <c r="A236" s="54"/>
      <c r="B236" s="55" t="s">
        <v>251</v>
      </c>
      <c r="C236" s="87" t="s">
        <v>201</v>
      </c>
      <c r="D236" s="176" t="s">
        <v>230</v>
      </c>
      <c r="E236" s="197">
        <v>2424</v>
      </c>
      <c r="F236" s="177">
        <v>38.112254309352593</v>
      </c>
      <c r="G236" s="177">
        <v>92384.104445870689</v>
      </c>
      <c r="H236" s="87"/>
      <c r="I236" s="176" t="s">
        <v>230</v>
      </c>
      <c r="J236" s="234"/>
      <c r="K236" s="251">
        <v>38.112254309352593</v>
      </c>
      <c r="L236" s="212">
        <v>0</v>
      </c>
      <c r="M236" s="178"/>
      <c r="N236" s="199"/>
      <c r="O236" s="197"/>
      <c r="P236" s="146"/>
      <c r="Q236" s="146"/>
      <c r="R236" s="30"/>
      <c r="S236" s="176" t="s">
        <v>230</v>
      </c>
      <c r="T236" s="197">
        <v>2424</v>
      </c>
      <c r="U236" s="146">
        <v>38.112254309352593</v>
      </c>
      <c r="V236" s="146">
        <v>92384.104445870689</v>
      </c>
      <c r="W236" s="30"/>
      <c r="X236" s="199"/>
      <c r="Y236" s="197"/>
      <c r="Z236" s="146"/>
      <c r="AA236" s="146"/>
      <c r="AB236" s="87"/>
      <c r="AC236" s="90"/>
      <c r="AD236" s="176"/>
      <c r="AE236" s="234"/>
      <c r="AF236" s="251"/>
      <c r="AG236" s="212"/>
      <c r="AH236" s="200"/>
      <c r="AI236" s="199"/>
      <c r="AJ236" s="197"/>
      <c r="AK236" s="146"/>
      <c r="AL236" s="146"/>
      <c r="AM236" s="32"/>
      <c r="AN236" s="176"/>
      <c r="AO236" s="197"/>
      <c r="AP236" s="146"/>
      <c r="AQ236" s="146"/>
      <c r="AR236" s="32"/>
      <c r="AS236" s="199"/>
      <c r="AT236" s="197"/>
      <c r="AU236" s="146"/>
      <c r="AV236" s="146"/>
      <c r="AW236" s="30"/>
      <c r="AX236" s="176"/>
      <c r="AY236" s="197"/>
      <c r="AZ236" s="177"/>
      <c r="BA236" s="177">
        <f t="shared" si="8"/>
        <v>0</v>
      </c>
      <c r="BB236" s="9"/>
    </row>
    <row r="237" spans="1:54" ht="27" customHeight="1" x14ac:dyDescent="0.35">
      <c r="A237" s="54"/>
      <c r="B237" s="55" t="s">
        <v>252</v>
      </c>
      <c r="C237" s="87" t="s">
        <v>201</v>
      </c>
      <c r="D237" s="176" t="s">
        <v>230</v>
      </c>
      <c r="E237" s="197">
        <v>35</v>
      </c>
      <c r="F237" s="177">
        <v>7.6224508618705187</v>
      </c>
      <c r="G237" s="177">
        <v>266.78578016546817</v>
      </c>
      <c r="H237" s="87"/>
      <c r="I237" s="176" t="s">
        <v>230</v>
      </c>
      <c r="J237" s="234"/>
      <c r="K237" s="251">
        <v>7.6224508618705187</v>
      </c>
      <c r="L237" s="212">
        <v>0</v>
      </c>
      <c r="M237" s="178"/>
      <c r="N237" s="199"/>
      <c r="O237" s="197"/>
      <c r="P237" s="146"/>
      <c r="Q237" s="146"/>
      <c r="R237" s="30"/>
      <c r="S237" s="176" t="s">
        <v>230</v>
      </c>
      <c r="T237" s="197">
        <v>35</v>
      </c>
      <c r="U237" s="146">
        <v>7.6224508618705187</v>
      </c>
      <c r="V237" s="146">
        <v>266.78578016546817</v>
      </c>
      <c r="W237" s="30"/>
      <c r="X237" s="199"/>
      <c r="Y237" s="197"/>
      <c r="Z237" s="146"/>
      <c r="AA237" s="146"/>
      <c r="AB237" s="87"/>
      <c r="AC237" s="90"/>
      <c r="AD237" s="176"/>
      <c r="AE237" s="234"/>
      <c r="AF237" s="251"/>
      <c r="AG237" s="212"/>
      <c r="AH237" s="200"/>
      <c r="AI237" s="199"/>
      <c r="AJ237" s="197"/>
      <c r="AK237" s="146"/>
      <c r="AL237" s="146"/>
      <c r="AM237" s="32"/>
      <c r="AN237" s="176"/>
      <c r="AO237" s="197"/>
      <c r="AP237" s="146"/>
      <c r="AQ237" s="146"/>
      <c r="AR237" s="32"/>
      <c r="AS237" s="199"/>
      <c r="AT237" s="197"/>
      <c r="AU237" s="146"/>
      <c r="AV237" s="146"/>
      <c r="AW237" s="30"/>
      <c r="AX237" s="176"/>
      <c r="AY237" s="197"/>
      <c r="AZ237" s="177"/>
      <c r="BA237" s="177">
        <f t="shared" si="8"/>
        <v>0</v>
      </c>
      <c r="BB237" s="9"/>
    </row>
    <row r="238" spans="1:54" x14ac:dyDescent="0.35">
      <c r="A238" s="54"/>
      <c r="B238" s="174" t="s">
        <v>253</v>
      </c>
      <c r="C238" s="87" t="s">
        <v>201</v>
      </c>
      <c r="D238" s="176" t="s">
        <v>56</v>
      </c>
      <c r="E238" s="197">
        <v>2519</v>
      </c>
      <c r="F238" s="177">
        <v>7.6224508618705187</v>
      </c>
      <c r="G238" s="177">
        <v>19200.953721051836</v>
      </c>
      <c r="H238" s="87"/>
      <c r="I238" s="176" t="s">
        <v>214</v>
      </c>
      <c r="J238" s="234"/>
      <c r="K238" s="251">
        <v>7.6224508618705187</v>
      </c>
      <c r="L238" s="212">
        <v>0</v>
      </c>
      <c r="M238" s="178"/>
      <c r="N238" s="199"/>
      <c r="O238" s="197"/>
      <c r="P238" s="146"/>
      <c r="Q238" s="146"/>
      <c r="R238" s="30"/>
      <c r="S238" s="176" t="s">
        <v>214</v>
      </c>
      <c r="T238" s="197">
        <v>2519</v>
      </c>
      <c r="U238" s="146">
        <v>7.6224508618705187</v>
      </c>
      <c r="V238" s="146">
        <v>19200.953721051836</v>
      </c>
      <c r="W238" s="30"/>
      <c r="X238" s="199"/>
      <c r="Y238" s="197"/>
      <c r="Z238" s="146"/>
      <c r="AA238" s="146"/>
      <c r="AB238" s="87"/>
      <c r="AC238" s="90"/>
      <c r="AD238" s="176"/>
      <c r="AE238" s="234"/>
      <c r="AF238" s="251"/>
      <c r="AG238" s="212"/>
      <c r="AH238" s="200"/>
      <c r="AI238" s="199"/>
      <c r="AJ238" s="197"/>
      <c r="AK238" s="146"/>
      <c r="AL238" s="146"/>
      <c r="AM238" s="32"/>
      <c r="AN238" s="176"/>
      <c r="AO238" s="197"/>
      <c r="AP238" s="146"/>
      <c r="AQ238" s="146"/>
      <c r="AR238" s="32"/>
      <c r="AS238" s="199"/>
      <c r="AT238" s="197"/>
      <c r="AU238" s="146"/>
      <c r="AV238" s="146"/>
      <c r="AW238" s="30"/>
      <c r="AX238" s="176"/>
      <c r="AY238" s="197"/>
      <c r="AZ238" s="177"/>
      <c r="BA238" s="177">
        <f t="shared" si="8"/>
        <v>0</v>
      </c>
      <c r="BB238" s="9"/>
    </row>
    <row r="239" spans="1:54" ht="30.75" customHeight="1" x14ac:dyDescent="0.35">
      <c r="A239" s="54"/>
      <c r="B239" s="174" t="s">
        <v>254</v>
      </c>
      <c r="C239" s="87" t="s">
        <v>201</v>
      </c>
      <c r="D239" s="176" t="s">
        <v>56</v>
      </c>
      <c r="E239" s="197">
        <v>100</v>
      </c>
      <c r="F239" s="177">
        <v>45.734705171223112</v>
      </c>
      <c r="G239" s="177">
        <v>4573.4705171223113</v>
      </c>
      <c r="H239" s="87"/>
      <c r="I239" s="176" t="s">
        <v>56</v>
      </c>
      <c r="J239" s="234"/>
      <c r="K239" s="251">
        <v>45.734705171223112</v>
      </c>
      <c r="L239" s="212">
        <v>0</v>
      </c>
      <c r="M239" s="178"/>
      <c r="N239" s="199"/>
      <c r="O239" s="197"/>
      <c r="P239" s="146"/>
      <c r="Q239" s="146"/>
      <c r="R239" s="30"/>
      <c r="S239" s="176" t="s">
        <v>56</v>
      </c>
      <c r="T239" s="197">
        <v>100</v>
      </c>
      <c r="U239" s="146">
        <v>45.734705171223112</v>
      </c>
      <c r="V239" s="146">
        <v>4573.4705171223113</v>
      </c>
      <c r="W239" s="30"/>
      <c r="X239" s="199"/>
      <c r="Y239" s="197"/>
      <c r="Z239" s="146"/>
      <c r="AA239" s="146"/>
      <c r="AB239" s="87"/>
      <c r="AC239" s="90"/>
      <c r="AD239" s="176"/>
      <c r="AE239" s="234"/>
      <c r="AF239" s="251"/>
      <c r="AG239" s="212"/>
      <c r="AH239" s="200"/>
      <c r="AI239" s="199"/>
      <c r="AJ239" s="197"/>
      <c r="AK239" s="146"/>
      <c r="AL239" s="146"/>
      <c r="AM239" s="32"/>
      <c r="AN239" s="176"/>
      <c r="AO239" s="197"/>
      <c r="AP239" s="146"/>
      <c r="AQ239" s="146"/>
      <c r="AR239" s="32"/>
      <c r="AS239" s="199"/>
      <c r="AT239" s="197"/>
      <c r="AU239" s="146"/>
      <c r="AV239" s="146"/>
      <c r="AW239" s="30"/>
      <c r="AX239" s="176"/>
      <c r="AY239" s="197"/>
      <c r="AZ239" s="177"/>
      <c r="BA239" s="177">
        <f t="shared" si="8"/>
        <v>0</v>
      </c>
      <c r="BB239" s="9"/>
    </row>
    <row r="240" spans="1:54" ht="58" x14ac:dyDescent="0.35">
      <c r="A240" s="186"/>
      <c r="B240" s="188" t="s">
        <v>255</v>
      </c>
      <c r="C240" s="189"/>
      <c r="D240" s="214"/>
      <c r="E240" s="203"/>
      <c r="F240" s="204"/>
      <c r="G240" s="204">
        <f>SUM(G241:G245)</f>
        <v>27715.231333761207</v>
      </c>
      <c r="H240" s="189"/>
      <c r="I240" s="214"/>
      <c r="J240" s="203"/>
      <c r="K240" s="205"/>
      <c r="L240" s="206">
        <f>SUM(L241:L245)</f>
        <v>0</v>
      </c>
      <c r="M240" s="207"/>
      <c r="N240" s="214"/>
      <c r="O240" s="203"/>
      <c r="P240" s="208"/>
      <c r="Q240" s="206">
        <f>SUM(Q241:Q245)</f>
        <v>9238.4104445870689</v>
      </c>
      <c r="R240" s="194"/>
      <c r="S240" s="189"/>
      <c r="T240" s="225"/>
      <c r="U240" s="206"/>
      <c r="V240" s="206">
        <f>SUM(V241:V245)</f>
        <v>9238.4104445870689</v>
      </c>
      <c r="W240" s="194"/>
      <c r="X240" s="214"/>
      <c r="Y240" s="203"/>
      <c r="Z240" s="208"/>
      <c r="AA240" s="206">
        <f>SUM(AA241:AA245)</f>
        <v>9238.4104445870689</v>
      </c>
      <c r="AB240" s="189"/>
      <c r="AC240" s="195"/>
      <c r="AD240" s="214"/>
      <c r="AE240" s="203"/>
      <c r="AF240" s="205"/>
      <c r="AG240" s="206">
        <v>0</v>
      </c>
      <c r="AH240" s="209"/>
      <c r="AI240" s="214"/>
      <c r="AJ240" s="203"/>
      <c r="AK240" s="208"/>
      <c r="AL240" s="206"/>
      <c r="AM240" s="196"/>
      <c r="AN240" s="189"/>
      <c r="AO240" s="225"/>
      <c r="AP240" s="206"/>
      <c r="AQ240" s="206"/>
      <c r="AR240" s="196"/>
      <c r="AS240" s="214"/>
      <c r="AT240" s="203"/>
      <c r="AU240" s="208"/>
      <c r="AV240" s="206"/>
      <c r="AW240" s="194"/>
      <c r="AX240" s="214"/>
      <c r="AY240" s="203"/>
      <c r="AZ240" s="204"/>
      <c r="BA240" s="204">
        <f t="shared" si="8"/>
        <v>0</v>
      </c>
      <c r="BB240" s="9"/>
    </row>
    <row r="241" spans="1:54" x14ac:dyDescent="0.35">
      <c r="A241" s="54"/>
      <c r="B241" s="210" t="s">
        <v>202</v>
      </c>
      <c r="C241" s="42"/>
      <c r="D241" s="199"/>
      <c r="E241" s="197"/>
      <c r="F241" s="146"/>
      <c r="G241" s="146"/>
      <c r="H241" s="42"/>
      <c r="I241" s="199"/>
      <c r="J241" s="197"/>
      <c r="K241" s="198"/>
      <c r="L241" s="146"/>
      <c r="M241" s="178"/>
      <c r="N241" s="199"/>
      <c r="O241" s="197"/>
      <c r="P241" s="146"/>
      <c r="Q241" s="146"/>
      <c r="R241" s="30"/>
      <c r="S241" s="199"/>
      <c r="T241" s="197"/>
      <c r="U241" s="146"/>
      <c r="V241" s="146"/>
      <c r="W241" s="30"/>
      <c r="X241" s="199"/>
      <c r="Y241" s="197"/>
      <c r="Z241" s="146"/>
      <c r="AA241" s="146"/>
      <c r="AB241" s="42"/>
      <c r="AC241" s="46"/>
      <c r="AD241" s="199"/>
      <c r="AE241" s="197"/>
      <c r="AF241" s="198"/>
      <c r="AG241" s="146"/>
      <c r="AH241" s="200"/>
      <c r="AI241" s="199"/>
      <c r="AJ241" s="197"/>
      <c r="AK241" s="146"/>
      <c r="AL241" s="146"/>
      <c r="AM241" s="32"/>
      <c r="AN241" s="199"/>
      <c r="AO241" s="197"/>
      <c r="AP241" s="146"/>
      <c r="AQ241" s="146"/>
      <c r="AR241" s="32"/>
      <c r="AS241" s="199"/>
      <c r="AT241" s="197"/>
      <c r="AU241" s="146"/>
      <c r="AV241" s="146"/>
      <c r="AW241" s="30"/>
      <c r="AX241" s="199"/>
      <c r="AY241" s="197"/>
      <c r="AZ241" s="146"/>
      <c r="BA241" s="177">
        <f t="shared" si="8"/>
        <v>0</v>
      </c>
      <c r="BB241" s="9"/>
    </row>
    <row r="242" spans="1:54" x14ac:dyDescent="0.35">
      <c r="A242" s="54"/>
      <c r="B242" s="55" t="s">
        <v>203</v>
      </c>
      <c r="C242" s="42"/>
      <c r="D242" s="199"/>
      <c r="E242" s="197"/>
      <c r="F242" s="146"/>
      <c r="G242" s="146"/>
      <c r="H242" s="42"/>
      <c r="I242" s="199"/>
      <c r="J242" s="197"/>
      <c r="K242" s="198"/>
      <c r="L242" s="146"/>
      <c r="M242" s="178"/>
      <c r="N242" s="176"/>
      <c r="O242" s="197"/>
      <c r="P242" s="146"/>
      <c r="Q242" s="146"/>
      <c r="R242" s="30"/>
      <c r="S242" s="199"/>
      <c r="T242" s="197"/>
      <c r="U242" s="146"/>
      <c r="V242" s="146"/>
      <c r="W242" s="30"/>
      <c r="X242" s="199"/>
      <c r="Y242" s="197"/>
      <c r="Z242" s="146"/>
      <c r="AA242" s="146"/>
      <c r="AB242" s="42"/>
      <c r="AC242" s="46"/>
      <c r="AD242" s="199"/>
      <c r="AE242" s="197"/>
      <c r="AF242" s="198"/>
      <c r="AG242" s="146"/>
      <c r="AH242" s="200"/>
      <c r="AI242" s="176"/>
      <c r="AJ242" s="197"/>
      <c r="AK242" s="146"/>
      <c r="AL242" s="146"/>
      <c r="AM242" s="32"/>
      <c r="AN242" s="199"/>
      <c r="AO242" s="197"/>
      <c r="AP242" s="146"/>
      <c r="AQ242" s="146"/>
      <c r="AR242" s="32"/>
      <c r="AS242" s="199"/>
      <c r="AT242" s="197"/>
      <c r="AU242" s="146"/>
      <c r="AV242" s="146"/>
      <c r="AW242" s="30"/>
      <c r="AX242" s="199"/>
      <c r="AY242" s="197"/>
      <c r="AZ242" s="146"/>
      <c r="BA242" s="177">
        <f t="shared" si="8"/>
        <v>0</v>
      </c>
      <c r="BB242" s="9"/>
    </row>
    <row r="243" spans="1:54" x14ac:dyDescent="0.35">
      <c r="A243" s="54"/>
      <c r="B243" s="174" t="s">
        <v>210</v>
      </c>
      <c r="C243" s="42"/>
      <c r="D243" s="199"/>
      <c r="E243" s="197"/>
      <c r="F243" s="146"/>
      <c r="G243" s="146"/>
      <c r="H243" s="42"/>
      <c r="I243" s="199"/>
      <c r="J243" s="197"/>
      <c r="K243" s="198"/>
      <c r="L243" s="146"/>
      <c r="M243" s="178"/>
      <c r="N243" s="199"/>
      <c r="O243" s="197"/>
      <c r="P243" s="146"/>
      <c r="Q243" s="146"/>
      <c r="R243" s="30"/>
      <c r="S243" s="199"/>
      <c r="T243" s="197"/>
      <c r="U243" s="146"/>
      <c r="V243" s="146"/>
      <c r="W243" s="30"/>
      <c r="X243" s="199"/>
      <c r="Y243" s="197"/>
      <c r="Z243" s="146"/>
      <c r="AA243" s="146"/>
      <c r="AB243" s="42"/>
      <c r="AC243" s="46"/>
      <c r="AD243" s="199"/>
      <c r="AE243" s="197"/>
      <c r="AF243" s="198"/>
      <c r="AG243" s="146"/>
      <c r="AH243" s="200"/>
      <c r="AI243" s="199"/>
      <c r="AJ243" s="197"/>
      <c r="AK243" s="146"/>
      <c r="AL243" s="146"/>
      <c r="AM243" s="32"/>
      <c r="AN243" s="199"/>
      <c r="AO243" s="197"/>
      <c r="AP243" s="146"/>
      <c r="AQ243" s="146"/>
      <c r="AR243" s="32"/>
      <c r="AS243" s="199"/>
      <c r="AT243" s="197"/>
      <c r="AU243" s="146"/>
      <c r="AV243" s="146"/>
      <c r="AW243" s="30"/>
      <c r="AX243" s="199"/>
      <c r="AY243" s="197"/>
      <c r="AZ243" s="146"/>
      <c r="BA243" s="177">
        <f t="shared" si="8"/>
        <v>0</v>
      </c>
      <c r="BB243" s="9"/>
    </row>
    <row r="244" spans="1:54" x14ac:dyDescent="0.35">
      <c r="A244" s="54"/>
      <c r="B244" s="55" t="s">
        <v>211</v>
      </c>
      <c r="C244" s="42"/>
      <c r="D244" s="199"/>
      <c r="E244" s="197"/>
      <c r="F244" s="146"/>
      <c r="G244" s="146"/>
      <c r="H244" s="42"/>
      <c r="I244" s="199"/>
      <c r="J244" s="197"/>
      <c r="K244" s="198"/>
      <c r="L244" s="146"/>
      <c r="M244" s="178"/>
      <c r="N244" s="199"/>
      <c r="O244" s="197"/>
      <c r="P244" s="146"/>
      <c r="Q244" s="146"/>
      <c r="R244" s="30"/>
      <c r="S244" s="199"/>
      <c r="T244" s="197"/>
      <c r="U244" s="146"/>
      <c r="V244" s="146"/>
      <c r="W244" s="30"/>
      <c r="X244" s="199"/>
      <c r="Y244" s="197"/>
      <c r="Z244" s="146"/>
      <c r="AA244" s="146"/>
      <c r="AB244" s="42"/>
      <c r="AC244" s="46"/>
      <c r="AD244" s="199"/>
      <c r="AE244" s="197"/>
      <c r="AF244" s="198"/>
      <c r="AG244" s="146"/>
      <c r="AH244" s="200"/>
      <c r="AI244" s="199"/>
      <c r="AJ244" s="197"/>
      <c r="AK244" s="146"/>
      <c r="AL244" s="146"/>
      <c r="AM244" s="32"/>
      <c r="AN244" s="199"/>
      <c r="AO244" s="197"/>
      <c r="AP244" s="146"/>
      <c r="AQ244" s="146"/>
      <c r="AR244" s="32"/>
      <c r="AS244" s="199"/>
      <c r="AT244" s="197"/>
      <c r="AU244" s="146"/>
      <c r="AV244" s="146"/>
      <c r="AW244" s="30"/>
      <c r="AX244" s="199"/>
      <c r="AY244" s="197"/>
      <c r="AZ244" s="146"/>
      <c r="BA244" s="177">
        <f t="shared" si="8"/>
        <v>0</v>
      </c>
      <c r="BB244" s="9"/>
    </row>
    <row r="245" spans="1:54" ht="29" x14ac:dyDescent="0.35">
      <c r="A245" s="54"/>
      <c r="B245" s="55" t="s">
        <v>256</v>
      </c>
      <c r="C245" s="74" t="s">
        <v>65</v>
      </c>
      <c r="D245" s="176" t="s">
        <v>257</v>
      </c>
      <c r="E245" s="197">
        <v>2424</v>
      </c>
      <c r="F245" s="177">
        <v>11.433676292805778</v>
      </c>
      <c r="G245" s="177">
        <v>27715.231333761207</v>
      </c>
      <c r="H245" s="74"/>
      <c r="I245" s="176" t="s">
        <v>257</v>
      </c>
      <c r="J245" s="252"/>
      <c r="K245" s="198"/>
      <c r="L245" s="146">
        <v>0</v>
      </c>
      <c r="M245" s="178"/>
      <c r="N245" s="176" t="s">
        <v>257</v>
      </c>
      <c r="O245" s="197">
        <v>808</v>
      </c>
      <c r="P245" s="146">
        <v>11.433676292805778</v>
      </c>
      <c r="Q245" s="146">
        <v>9238.4104445870689</v>
      </c>
      <c r="R245" s="30"/>
      <c r="S245" s="176" t="s">
        <v>257</v>
      </c>
      <c r="T245" s="197">
        <v>808</v>
      </c>
      <c r="U245" s="146">
        <v>11.433676292805778</v>
      </c>
      <c r="V245" s="146">
        <v>9238.4104445870689</v>
      </c>
      <c r="W245" s="30"/>
      <c r="X245" s="176" t="s">
        <v>257</v>
      </c>
      <c r="Y245" s="197">
        <v>808</v>
      </c>
      <c r="Z245" s="146">
        <v>11.433676292805778</v>
      </c>
      <c r="AA245" s="146">
        <v>9238.4104445870689</v>
      </c>
      <c r="AB245" s="74"/>
      <c r="AC245" s="46"/>
      <c r="AD245" s="176"/>
      <c r="AE245" s="252"/>
      <c r="AF245" s="198"/>
      <c r="AG245" s="146"/>
      <c r="AH245" s="200"/>
      <c r="AI245" s="176"/>
      <c r="AJ245" s="197"/>
      <c r="AK245" s="146"/>
      <c r="AL245" s="146"/>
      <c r="AM245" s="32"/>
      <c r="AN245" s="176"/>
      <c r="AO245" s="197"/>
      <c r="AP245" s="146"/>
      <c r="AQ245" s="146"/>
      <c r="AR245" s="32"/>
      <c r="AS245" s="176"/>
      <c r="AT245" s="197"/>
      <c r="AU245" s="146"/>
      <c r="AV245" s="146"/>
      <c r="AW245" s="30"/>
      <c r="AX245" s="176"/>
      <c r="AY245" s="197"/>
      <c r="AZ245" s="177"/>
      <c r="BA245" s="177">
        <f t="shared" ref="BA245:BA252" si="9">AG245+AL245+AQ245+AV245</f>
        <v>0</v>
      </c>
      <c r="BB245" s="9"/>
    </row>
    <row r="246" spans="1:54" ht="29" x14ac:dyDescent="0.35">
      <c r="A246" s="186"/>
      <c r="B246" s="188" t="s">
        <v>258</v>
      </c>
      <c r="C246" s="189"/>
      <c r="D246" s="214"/>
      <c r="E246" s="203"/>
      <c r="F246" s="204"/>
      <c r="G246" s="204">
        <f>SUM(G247:G251)</f>
        <v>27715.231333761207</v>
      </c>
      <c r="H246" s="189"/>
      <c r="I246" s="214"/>
      <c r="J246" s="203"/>
      <c r="K246" s="215"/>
      <c r="L246" s="206">
        <f>SUM(L247:L251)</f>
        <v>0</v>
      </c>
      <c r="M246" s="207"/>
      <c r="N246" s="214"/>
      <c r="O246" s="253"/>
      <c r="P246" s="254"/>
      <c r="Q246" s="206">
        <f>SUM(Q247:Q251)</f>
        <v>9238.4104445870689</v>
      </c>
      <c r="R246" s="194"/>
      <c r="S246" s="214"/>
      <c r="T246" s="253"/>
      <c r="U246" s="254"/>
      <c r="V246" s="206">
        <f>SUM(V247:V251)</f>
        <v>9238.4104445870689</v>
      </c>
      <c r="W246" s="194"/>
      <c r="X246" s="214"/>
      <c r="Y246" s="253"/>
      <c r="Z246" s="254"/>
      <c r="AA246" s="206">
        <f>SUM(AA247:AA251)</f>
        <v>9238.4104445870689</v>
      </c>
      <c r="AB246" s="189"/>
      <c r="AC246" s="195"/>
      <c r="AD246" s="214"/>
      <c r="AE246" s="203"/>
      <c r="AF246" s="215"/>
      <c r="AG246" s="206">
        <v>589.99599999999998</v>
      </c>
      <c r="AH246" s="209"/>
      <c r="AI246" s="214"/>
      <c r="AJ246" s="253"/>
      <c r="AK246" s="254"/>
      <c r="AL246" s="206"/>
      <c r="AM246" s="196"/>
      <c r="AN246" s="214"/>
      <c r="AO246" s="253"/>
      <c r="AP246" s="254"/>
      <c r="AQ246" s="206"/>
      <c r="AR246" s="196"/>
      <c r="AS246" s="214"/>
      <c r="AT246" s="253"/>
      <c r="AU246" s="254"/>
      <c r="AV246" s="206"/>
      <c r="AW246" s="194"/>
      <c r="AX246" s="214"/>
      <c r="AY246" s="203"/>
      <c r="AZ246" s="204"/>
      <c r="BA246" s="204">
        <f t="shared" si="9"/>
        <v>589.99599999999998</v>
      </c>
      <c r="BB246" s="9"/>
    </row>
    <row r="247" spans="1:54" x14ac:dyDescent="0.35">
      <c r="A247" s="54"/>
      <c r="B247" s="180" t="s">
        <v>202</v>
      </c>
      <c r="C247" s="42"/>
      <c r="D247" s="199"/>
      <c r="E247" s="197"/>
      <c r="F247" s="146"/>
      <c r="G247" s="146"/>
      <c r="H247" s="42"/>
      <c r="I247" s="199"/>
      <c r="J247" s="197"/>
      <c r="K247" s="198"/>
      <c r="L247" s="146"/>
      <c r="M247" s="178"/>
      <c r="N247" s="199"/>
      <c r="O247" s="197"/>
      <c r="P247" s="146"/>
      <c r="Q247" s="146"/>
      <c r="R247" s="30"/>
      <c r="S247" s="199"/>
      <c r="T247" s="197"/>
      <c r="U247" s="146"/>
      <c r="V247" s="146"/>
      <c r="W247" s="30"/>
      <c r="X247" s="199"/>
      <c r="Y247" s="197"/>
      <c r="Z247" s="146"/>
      <c r="AA247" s="146"/>
      <c r="AB247" s="42"/>
      <c r="AC247" s="46"/>
      <c r="AD247" s="199"/>
      <c r="AE247" s="197"/>
      <c r="AF247" s="198"/>
      <c r="AG247" s="146"/>
      <c r="AH247" s="200"/>
      <c r="AI247" s="199"/>
      <c r="AJ247" s="197"/>
      <c r="AK247" s="146"/>
      <c r="AL247" s="146"/>
      <c r="AM247" s="32"/>
      <c r="AN247" s="199"/>
      <c r="AO247" s="197"/>
      <c r="AP247" s="146"/>
      <c r="AQ247" s="146"/>
      <c r="AR247" s="32"/>
      <c r="AS247" s="199"/>
      <c r="AT247" s="197"/>
      <c r="AU247" s="146"/>
      <c r="AV247" s="146"/>
      <c r="AW247" s="30"/>
      <c r="AX247" s="199"/>
      <c r="AY247" s="197"/>
      <c r="AZ247" s="146"/>
      <c r="BA247" s="177">
        <f t="shared" si="9"/>
        <v>0</v>
      </c>
      <c r="BB247" s="9"/>
    </row>
    <row r="248" spans="1:54" ht="43.5" x14ac:dyDescent="0.35">
      <c r="A248" s="54"/>
      <c r="B248" s="55" t="s">
        <v>259</v>
      </c>
      <c r="C248" s="42" t="s">
        <v>65</v>
      </c>
      <c r="D248" s="176" t="s">
        <v>260</v>
      </c>
      <c r="E248" s="197">
        <v>7272</v>
      </c>
      <c r="F248" s="177">
        <v>3.8112254309352593</v>
      </c>
      <c r="G248" s="177">
        <v>27715.231333761207</v>
      </c>
      <c r="H248" s="42"/>
      <c r="I248" s="176" t="s">
        <v>260</v>
      </c>
      <c r="J248" s="197"/>
      <c r="K248" s="198"/>
      <c r="L248" s="146"/>
      <c r="M248" s="178"/>
      <c r="N248" s="176" t="s">
        <v>260</v>
      </c>
      <c r="O248" s="249">
        <v>2424</v>
      </c>
      <c r="P248" s="250">
        <v>3.8112254309352593</v>
      </c>
      <c r="Q248" s="146">
        <v>9238.4104445870689</v>
      </c>
      <c r="R248" s="30"/>
      <c r="S248" s="176" t="s">
        <v>260</v>
      </c>
      <c r="T248" s="249">
        <v>2424</v>
      </c>
      <c r="U248" s="250">
        <v>3.8112254309352593</v>
      </c>
      <c r="V248" s="146">
        <v>9238.4104445870689</v>
      </c>
      <c r="W248" s="30"/>
      <c r="X248" s="176" t="s">
        <v>260</v>
      </c>
      <c r="Y248" s="249">
        <v>2424</v>
      </c>
      <c r="Z248" s="250">
        <v>3.8112254309352593</v>
      </c>
      <c r="AA248" s="146">
        <v>9238.4104445870689</v>
      </c>
      <c r="AB248" s="42"/>
      <c r="AC248" s="46"/>
      <c r="AD248" s="176"/>
      <c r="AE248" s="197"/>
      <c r="AF248" s="198"/>
      <c r="AG248" s="146"/>
      <c r="AH248" s="200"/>
      <c r="AI248" s="176"/>
      <c r="AJ248" s="249"/>
      <c r="AK248" s="250"/>
      <c r="AL248" s="146"/>
      <c r="AM248" s="32"/>
      <c r="AN248" s="176"/>
      <c r="AO248" s="249"/>
      <c r="AP248" s="250"/>
      <c r="AQ248" s="146"/>
      <c r="AR248" s="32"/>
      <c r="AS248" s="176"/>
      <c r="AT248" s="249"/>
      <c r="AU248" s="250"/>
      <c r="AV248" s="146"/>
      <c r="AW248" s="30"/>
      <c r="AX248" s="176"/>
      <c r="AY248" s="197"/>
      <c r="AZ248" s="177"/>
      <c r="BA248" s="177">
        <f t="shared" si="9"/>
        <v>0</v>
      </c>
      <c r="BB248" s="9"/>
    </row>
    <row r="249" spans="1:54" x14ac:dyDescent="0.35">
      <c r="A249" s="54"/>
      <c r="B249" s="174" t="s">
        <v>210</v>
      </c>
      <c r="C249" s="42"/>
      <c r="D249" s="199"/>
      <c r="E249" s="197"/>
      <c r="F249" s="146"/>
      <c r="G249" s="146"/>
      <c r="H249" s="42"/>
      <c r="I249" s="199"/>
      <c r="J249" s="197"/>
      <c r="K249" s="198"/>
      <c r="L249" s="146"/>
      <c r="M249" s="178"/>
      <c r="N249" s="199"/>
      <c r="O249" s="197"/>
      <c r="P249" s="146"/>
      <c r="Q249" s="146"/>
      <c r="R249" s="30"/>
      <c r="S249" s="199"/>
      <c r="T249" s="197"/>
      <c r="U249" s="146"/>
      <c r="V249" s="146"/>
      <c r="W249" s="30"/>
      <c r="X249" s="199"/>
      <c r="Y249" s="197"/>
      <c r="Z249" s="146"/>
      <c r="AA249" s="146"/>
      <c r="AB249" s="42"/>
      <c r="AC249" s="46"/>
      <c r="AD249" s="199"/>
      <c r="AE249" s="197"/>
      <c r="AF249" s="198"/>
      <c r="AG249" s="146"/>
      <c r="AH249" s="200"/>
      <c r="AI249" s="199"/>
      <c r="AJ249" s="197"/>
      <c r="AK249" s="146"/>
      <c r="AL249" s="146"/>
      <c r="AM249" s="32"/>
      <c r="AN249" s="199"/>
      <c r="AO249" s="197"/>
      <c r="AP249" s="146"/>
      <c r="AQ249" s="146"/>
      <c r="AR249" s="32"/>
      <c r="AS249" s="199"/>
      <c r="AT249" s="197"/>
      <c r="AU249" s="146"/>
      <c r="AV249" s="146"/>
      <c r="AW249" s="30"/>
      <c r="AX249" s="199"/>
      <c r="AY249" s="197"/>
      <c r="AZ249" s="146"/>
      <c r="BA249" s="177">
        <f t="shared" si="9"/>
        <v>0</v>
      </c>
      <c r="BB249" s="9"/>
    </row>
    <row r="250" spans="1:54" x14ac:dyDescent="0.35">
      <c r="A250" s="54"/>
      <c r="B250" s="55" t="s">
        <v>211</v>
      </c>
      <c r="C250" s="42"/>
      <c r="D250" s="199"/>
      <c r="E250" s="197"/>
      <c r="F250" s="146"/>
      <c r="G250" s="146"/>
      <c r="H250" s="42"/>
      <c r="I250" s="199"/>
      <c r="J250" s="197"/>
      <c r="K250" s="198"/>
      <c r="L250" s="146"/>
      <c r="M250" s="178"/>
      <c r="N250" s="199"/>
      <c r="O250" s="197"/>
      <c r="P250" s="146"/>
      <c r="Q250" s="146"/>
      <c r="R250" s="30"/>
      <c r="S250" s="199"/>
      <c r="T250" s="197"/>
      <c r="U250" s="146"/>
      <c r="V250" s="146"/>
      <c r="W250" s="30"/>
      <c r="X250" s="199"/>
      <c r="Y250" s="197"/>
      <c r="Z250" s="146"/>
      <c r="AA250" s="146"/>
      <c r="AB250" s="42"/>
      <c r="AC250" s="46"/>
      <c r="AD250" s="199"/>
      <c r="AE250" s="197"/>
      <c r="AF250" s="198"/>
      <c r="AG250" s="146"/>
      <c r="AH250" s="200"/>
      <c r="AI250" s="199"/>
      <c r="AJ250" s="197"/>
      <c r="AK250" s="146"/>
      <c r="AL250" s="146"/>
      <c r="AM250" s="32"/>
      <c r="AN250" s="199"/>
      <c r="AO250" s="197"/>
      <c r="AP250" s="146"/>
      <c r="AQ250" s="146"/>
      <c r="AR250" s="32"/>
      <c r="AS250" s="199"/>
      <c r="AT250" s="197"/>
      <c r="AU250" s="146"/>
      <c r="AV250" s="146"/>
      <c r="AW250" s="30"/>
      <c r="AX250" s="199"/>
      <c r="AY250" s="197"/>
      <c r="AZ250" s="146"/>
      <c r="BA250" s="177">
        <f t="shared" si="9"/>
        <v>0</v>
      </c>
      <c r="BB250" s="9"/>
    </row>
    <row r="251" spans="1:54" x14ac:dyDescent="0.35">
      <c r="A251" s="54"/>
      <c r="B251" s="174" t="s">
        <v>246</v>
      </c>
      <c r="C251" s="42"/>
      <c r="D251" s="199"/>
      <c r="E251" s="197"/>
      <c r="F251" s="146"/>
      <c r="G251" s="146"/>
      <c r="H251" s="42"/>
      <c r="I251" s="199"/>
      <c r="J251" s="197"/>
      <c r="K251" s="198"/>
      <c r="L251" s="146"/>
      <c r="M251" s="178"/>
      <c r="N251" s="199"/>
      <c r="O251" s="197"/>
      <c r="P251" s="146"/>
      <c r="Q251" s="146"/>
      <c r="R251" s="30"/>
      <c r="S251" s="199"/>
      <c r="T251" s="197"/>
      <c r="U251" s="146"/>
      <c r="V251" s="146"/>
      <c r="W251" s="30"/>
      <c r="X251" s="199"/>
      <c r="Y251" s="197"/>
      <c r="Z251" s="146"/>
      <c r="AA251" s="146"/>
      <c r="AB251" s="42"/>
      <c r="AC251" s="46"/>
      <c r="AD251" s="199"/>
      <c r="AE251" s="197"/>
      <c r="AF251" s="198"/>
      <c r="AG251" s="146"/>
      <c r="AH251" s="200"/>
      <c r="AI251" s="199"/>
      <c r="AJ251" s="197"/>
      <c r="AK251" s="146"/>
      <c r="AL251" s="146"/>
      <c r="AM251" s="32"/>
      <c r="AN251" s="199"/>
      <c r="AO251" s="197"/>
      <c r="AP251" s="146"/>
      <c r="AQ251" s="146"/>
      <c r="AR251" s="32"/>
      <c r="AS251" s="199"/>
      <c r="AT251" s="197"/>
      <c r="AU251" s="146"/>
      <c r="AV251" s="146"/>
      <c r="AW251" s="30"/>
      <c r="AX251" s="199"/>
      <c r="AY251" s="197"/>
      <c r="AZ251" s="146"/>
      <c r="BA251" s="177">
        <f t="shared" si="9"/>
        <v>0</v>
      </c>
      <c r="BB251" s="9"/>
    </row>
    <row r="252" spans="1:54" ht="42" x14ac:dyDescent="0.35">
      <c r="A252" s="54"/>
      <c r="B252" s="255" t="s">
        <v>261</v>
      </c>
      <c r="C252" s="256"/>
      <c r="D252" s="202" t="s">
        <v>262</v>
      </c>
      <c r="E252" s="203">
        <v>75</v>
      </c>
      <c r="F252" s="257">
        <v>91.469410342446224</v>
      </c>
      <c r="G252" s="206">
        <v>6860.2057756834665</v>
      </c>
      <c r="H252" s="256"/>
      <c r="I252" s="202" t="s">
        <v>262</v>
      </c>
      <c r="J252" s="203">
        <v>75</v>
      </c>
      <c r="K252" s="257">
        <v>91.469410342446224</v>
      </c>
      <c r="L252" s="206">
        <v>6860.2057756834665</v>
      </c>
      <c r="M252" s="207"/>
      <c r="N252" s="202"/>
      <c r="O252" s="203"/>
      <c r="P252" s="206"/>
      <c r="Q252" s="206"/>
      <c r="R252" s="194"/>
      <c r="S252" s="202"/>
      <c r="T252" s="203"/>
      <c r="U252" s="206"/>
      <c r="V252" s="206"/>
      <c r="W252" s="194"/>
      <c r="X252" s="202"/>
      <c r="Y252" s="203"/>
      <c r="Z252" s="206"/>
      <c r="AA252" s="206"/>
      <c r="AB252" s="256"/>
      <c r="AC252" s="258"/>
      <c r="AD252" s="202"/>
      <c r="AE252" s="203"/>
      <c r="AF252" s="257"/>
      <c r="AG252" s="206">
        <v>10002.166999999999</v>
      </c>
      <c r="AH252" s="209"/>
      <c r="AI252" s="202"/>
      <c r="AJ252" s="203"/>
      <c r="AK252" s="206"/>
      <c r="AL252" s="206"/>
      <c r="AM252" s="196"/>
      <c r="AN252" s="202"/>
      <c r="AO252" s="203"/>
      <c r="AP252" s="206"/>
      <c r="AQ252" s="206"/>
      <c r="AR252" s="196"/>
      <c r="AS252" s="202"/>
      <c r="AT252" s="203"/>
      <c r="AU252" s="206"/>
      <c r="AV252" s="206"/>
      <c r="AW252" s="194"/>
      <c r="AX252" s="202"/>
      <c r="AY252" s="203"/>
      <c r="AZ252" s="257"/>
      <c r="BA252" s="204">
        <f t="shared" si="9"/>
        <v>10002.166999999999</v>
      </c>
      <c r="BB252" s="9"/>
    </row>
    <row r="253" spans="1:54" x14ac:dyDescent="0.35">
      <c r="A253" s="259"/>
      <c r="B253" s="260" t="s">
        <v>263</v>
      </c>
      <c r="C253" s="261"/>
      <c r="D253" s="262"/>
      <c r="E253" s="263"/>
      <c r="F253" s="264"/>
      <c r="G253" s="265">
        <f>SUM(G132:G174)+ SUM(G178,G185,G191,G192,G193,G199,G205,G206,G214,G224,G230,G240,G246,G252)</f>
        <v>1070692.7499013091</v>
      </c>
      <c r="H253" s="261"/>
      <c r="I253" s="262"/>
      <c r="J253" s="263"/>
      <c r="K253" s="264"/>
      <c r="L253" s="265">
        <f>SUM(L132:L174)+ SUM(L178,L185,L191,L192,L193,L199,L205,L206,L214,L224,L230,L240,L246,L252)</f>
        <v>615977.20870506181</v>
      </c>
      <c r="M253" s="30"/>
      <c r="N253" s="262"/>
      <c r="O253" s="263"/>
      <c r="P253" s="264"/>
      <c r="Q253" s="265">
        <f>SUM(Q132:Q174)+ SUM(Q178,Q185,Q191,Q192,Q193,Q199,Q205,Q206,Q214,Q224,Q230,Q240,Q246,Q252)</f>
        <v>149748.83095622563</v>
      </c>
      <c r="R253" s="30"/>
      <c r="S253" s="262"/>
      <c r="T253" s="263"/>
      <c r="U253" s="264"/>
      <c r="V253" s="265">
        <f>SUM(V132:V174)+ SUM(V178,V185,V191,V192,V193,V199,V205,V206,V214,V224,V230,V240,V246,V252)</f>
        <v>237207.67016840223</v>
      </c>
      <c r="W253" s="30"/>
      <c r="X253" s="262"/>
      <c r="Y253" s="263"/>
      <c r="Z253" s="264"/>
      <c r="AA253" s="265">
        <f>SUM(AA132:AA174)+ SUM(AA178,AA185,AA191,AA192,AA193,AA199,AA205,AA206,AA214,AA224,AA230,AA240,AA246,AA252)</f>
        <v>67759.040071619398</v>
      </c>
      <c r="AB253" s="261"/>
      <c r="AC253" s="266"/>
      <c r="AD253" s="262"/>
      <c r="AE253" s="263"/>
      <c r="AF253" s="264"/>
      <c r="AG253" s="265">
        <f>SUM(AG132:AG174)+ SUM(AG178,AG185,AG191,AG192,AG193,AG199,AG205,AG206,AG214,AG224,AG230,AG240,AG246,AG252)</f>
        <v>173161.02824314142</v>
      </c>
      <c r="AH253" s="32"/>
      <c r="AI253" s="262"/>
      <c r="AJ253" s="263"/>
      <c r="AK253" s="264"/>
      <c r="AL253" s="265">
        <f>SUM(AL131:AL252)</f>
        <v>0</v>
      </c>
      <c r="AM253" s="32"/>
      <c r="AN253" s="262"/>
      <c r="AO253" s="263"/>
      <c r="AP253" s="264"/>
      <c r="AQ253" s="265">
        <f>SUM(AQ131:AQ252)</f>
        <v>0</v>
      </c>
      <c r="AR253" s="32"/>
      <c r="AS253" s="262"/>
      <c r="AT253" s="263"/>
      <c r="AU253" s="264"/>
      <c r="AV253" s="265">
        <f>SUM(AV131:AV252)</f>
        <v>0</v>
      </c>
      <c r="AW253" s="30"/>
      <c r="AX253" s="262"/>
      <c r="AY253" s="263"/>
      <c r="AZ253" s="264"/>
      <c r="BA253" s="265">
        <f>SUM(BA132:BA174)+ SUM(BA178,BA185,BA191,BA192,BA193,BA199,BA205,BA206,BA214,BA224,BA230,BA240,BA246,BA252)</f>
        <v>173161.02824314142</v>
      </c>
      <c r="BB253" s="9"/>
    </row>
    <row r="254" spans="1:54" x14ac:dyDescent="0.35">
      <c r="A254" s="169"/>
      <c r="B254" s="267"/>
      <c r="C254" s="268"/>
      <c r="D254" s="269"/>
      <c r="E254" s="270"/>
      <c r="F254" s="271"/>
      <c r="G254" s="271"/>
      <c r="H254" s="268"/>
      <c r="I254" s="269"/>
      <c r="J254" s="270"/>
      <c r="K254" s="271"/>
      <c r="L254" s="271"/>
      <c r="M254" s="30"/>
      <c r="N254" s="269"/>
      <c r="O254" s="270"/>
      <c r="P254" s="271"/>
      <c r="Q254" s="271"/>
      <c r="R254" s="30"/>
      <c r="S254" s="269"/>
      <c r="T254" s="270"/>
      <c r="U254" s="271"/>
      <c r="V254" s="271"/>
      <c r="W254" s="30"/>
      <c r="X254" s="269"/>
      <c r="Y254" s="270"/>
      <c r="Z254" s="271"/>
      <c r="AA254" s="271"/>
      <c r="AB254" s="268"/>
      <c r="AC254" s="272"/>
      <c r="AD254" s="269"/>
      <c r="AE254" s="270"/>
      <c r="AF254" s="271"/>
      <c r="AG254" s="271"/>
      <c r="AH254" s="32"/>
      <c r="AI254" s="269"/>
      <c r="AJ254" s="270"/>
      <c r="AK254" s="271"/>
      <c r="AL254" s="271"/>
      <c r="AM254" s="32"/>
      <c r="AN254" s="269"/>
      <c r="AO254" s="270"/>
      <c r="AP254" s="271"/>
      <c r="AQ254" s="271"/>
      <c r="AR254" s="32"/>
      <c r="AS254" s="269"/>
      <c r="AT254" s="270"/>
      <c r="AU254" s="271"/>
      <c r="AV254" s="271"/>
      <c r="AW254" s="30"/>
      <c r="AX254" s="269"/>
      <c r="AY254" s="270"/>
      <c r="AZ254" s="271"/>
      <c r="BA254" s="271"/>
      <c r="BB254" s="9"/>
    </row>
    <row r="255" spans="1:54" ht="43.5" x14ac:dyDescent="0.35">
      <c r="A255" s="57" t="s">
        <v>264</v>
      </c>
      <c r="B255" s="58" t="s">
        <v>265</v>
      </c>
      <c r="C255" s="59"/>
      <c r="D255" s="60"/>
      <c r="E255" s="61"/>
      <c r="F255" s="62"/>
      <c r="G255" s="62"/>
      <c r="H255" s="59"/>
      <c r="I255" s="60"/>
      <c r="J255" s="61"/>
      <c r="K255" s="62"/>
      <c r="L255" s="62"/>
      <c r="M255" s="30"/>
      <c r="N255" s="60"/>
      <c r="O255" s="61"/>
      <c r="P255" s="62"/>
      <c r="Q255" s="62"/>
      <c r="R255" s="30"/>
      <c r="S255" s="60"/>
      <c r="T255" s="61"/>
      <c r="U255" s="62"/>
      <c r="V255" s="62"/>
      <c r="W255" s="30"/>
      <c r="X255" s="60"/>
      <c r="Y255" s="61"/>
      <c r="Z255" s="62"/>
      <c r="AA255" s="62"/>
      <c r="AB255" s="59"/>
      <c r="AC255" s="63"/>
      <c r="AD255" s="60"/>
      <c r="AE255" s="61"/>
      <c r="AF255" s="62"/>
      <c r="AG255" s="62"/>
      <c r="AH255" s="32"/>
      <c r="AI255" s="60"/>
      <c r="AJ255" s="61"/>
      <c r="AK255" s="62"/>
      <c r="AL255" s="62"/>
      <c r="AM255" s="32"/>
      <c r="AN255" s="60"/>
      <c r="AO255" s="61"/>
      <c r="AP255" s="62"/>
      <c r="AQ255" s="62"/>
      <c r="AR255" s="32"/>
      <c r="AS255" s="60"/>
      <c r="AT255" s="61"/>
      <c r="AU255" s="62"/>
      <c r="AV255" s="62"/>
      <c r="AW255" s="30"/>
      <c r="AX255" s="60"/>
      <c r="AY255" s="61"/>
      <c r="AZ255" s="62"/>
      <c r="BA255" s="62"/>
      <c r="BB255" s="9"/>
    </row>
    <row r="256" spans="1:54" x14ac:dyDescent="0.35">
      <c r="A256" s="54"/>
      <c r="B256" s="55"/>
      <c r="C256" s="42"/>
      <c r="D256" s="43"/>
      <c r="E256" s="44"/>
      <c r="F256" s="89"/>
      <c r="G256" s="89"/>
      <c r="H256" s="42"/>
      <c r="I256" s="43"/>
      <c r="J256" s="44"/>
      <c r="K256" s="89"/>
      <c r="L256" s="89"/>
      <c r="M256" s="30"/>
      <c r="N256" s="43"/>
      <c r="O256" s="44"/>
      <c r="P256" s="89"/>
      <c r="Q256" s="89"/>
      <c r="R256" s="30"/>
      <c r="S256" s="43"/>
      <c r="T256" s="44"/>
      <c r="U256" s="89"/>
      <c r="V256" s="89"/>
      <c r="W256" s="30"/>
      <c r="X256" s="43"/>
      <c r="Y256" s="44"/>
      <c r="Z256" s="89"/>
      <c r="AA256" s="89"/>
      <c r="AB256" s="42"/>
      <c r="AC256" s="46"/>
      <c r="AD256" s="43"/>
      <c r="AE256" s="44"/>
      <c r="AF256" s="89"/>
      <c r="AG256" s="89"/>
      <c r="AH256" s="32"/>
      <c r="AI256" s="43"/>
      <c r="AJ256" s="44"/>
      <c r="AK256" s="89"/>
      <c r="AL256" s="89"/>
      <c r="AM256" s="32"/>
      <c r="AN256" s="43"/>
      <c r="AO256" s="44"/>
      <c r="AP256" s="89"/>
      <c r="AQ256" s="89"/>
      <c r="AR256" s="32"/>
      <c r="AS256" s="43"/>
      <c r="AT256" s="44"/>
      <c r="AU256" s="89"/>
      <c r="AV256" s="89"/>
      <c r="AW256" s="30"/>
      <c r="AX256" s="43"/>
      <c r="AY256" s="44"/>
      <c r="AZ256" s="89"/>
      <c r="BA256" s="89"/>
      <c r="BB256" s="9"/>
    </row>
    <row r="257" spans="1:54" x14ac:dyDescent="0.35">
      <c r="A257" s="54"/>
      <c r="B257" s="55" t="s">
        <v>155</v>
      </c>
      <c r="C257" s="74"/>
      <c r="D257" s="75"/>
      <c r="E257" s="44"/>
      <c r="F257" s="80"/>
      <c r="G257" s="45"/>
      <c r="H257" s="74"/>
      <c r="I257" s="75"/>
      <c r="J257" s="44"/>
      <c r="K257" s="80"/>
      <c r="L257" s="45"/>
      <c r="M257" s="30"/>
      <c r="N257" s="75"/>
      <c r="O257" s="44"/>
      <c r="P257" s="80"/>
      <c r="Q257" s="45"/>
      <c r="R257" s="30"/>
      <c r="S257" s="75"/>
      <c r="T257" s="44"/>
      <c r="U257" s="80"/>
      <c r="V257" s="45"/>
      <c r="W257" s="30"/>
      <c r="X257" s="75"/>
      <c r="Y257" s="44"/>
      <c r="Z257" s="80"/>
      <c r="AA257" s="45"/>
      <c r="AB257" s="74"/>
      <c r="AC257" s="46"/>
      <c r="AD257" s="75"/>
      <c r="AE257" s="44"/>
      <c r="AF257" s="80"/>
      <c r="AG257" s="45"/>
      <c r="AH257" s="32"/>
      <c r="AI257" s="75"/>
      <c r="AJ257" s="44"/>
      <c r="AK257" s="80"/>
      <c r="AL257" s="45"/>
      <c r="AM257" s="32"/>
      <c r="AN257" s="75"/>
      <c r="AO257" s="44"/>
      <c r="AP257" s="80"/>
      <c r="AQ257" s="45"/>
      <c r="AR257" s="32"/>
      <c r="AS257" s="75"/>
      <c r="AT257" s="44"/>
      <c r="AU257" s="80"/>
      <c r="AV257" s="45"/>
      <c r="AW257" s="30"/>
      <c r="AX257" s="75"/>
      <c r="AY257" s="44"/>
      <c r="AZ257" s="80"/>
      <c r="BA257" s="45"/>
      <c r="BB257" s="9"/>
    </row>
    <row r="258" spans="1:54" x14ac:dyDescent="0.35">
      <c r="A258" s="54"/>
      <c r="B258" s="86" t="s">
        <v>156</v>
      </c>
      <c r="C258" s="74" t="s">
        <v>27</v>
      </c>
      <c r="D258" s="75" t="s">
        <v>28</v>
      </c>
      <c r="E258" s="44">
        <v>28.307473240643464</v>
      </c>
      <c r="F258" s="80">
        <v>2320</v>
      </c>
      <c r="G258" s="77">
        <v>65673.337918292833</v>
      </c>
      <c r="H258" s="74"/>
      <c r="I258" s="75" t="s">
        <v>28</v>
      </c>
      <c r="J258" s="44">
        <v>4.3833136128275614</v>
      </c>
      <c r="K258" s="80">
        <v>2320</v>
      </c>
      <c r="L258" s="77">
        <v>10169.287581759942</v>
      </c>
      <c r="M258" s="30"/>
      <c r="N258" s="75" t="s">
        <v>28</v>
      </c>
      <c r="O258" s="44">
        <v>8.7080245202465925</v>
      </c>
      <c r="P258" s="80">
        <v>2320</v>
      </c>
      <c r="Q258" s="77">
        <v>20202.616886972093</v>
      </c>
      <c r="R258" s="30"/>
      <c r="S258" s="75" t="s">
        <v>28</v>
      </c>
      <c r="T258" s="44">
        <v>6.8357020269146069</v>
      </c>
      <c r="U258" s="80">
        <v>2320</v>
      </c>
      <c r="V258" s="77">
        <v>15858.828702441888</v>
      </c>
      <c r="W258" s="30"/>
      <c r="X258" s="75" t="s">
        <v>28</v>
      </c>
      <c r="Y258" s="44">
        <v>8.3804330806547043</v>
      </c>
      <c r="Z258" s="80">
        <v>2320</v>
      </c>
      <c r="AA258" s="77">
        <v>19442.604747118912</v>
      </c>
      <c r="AB258" s="74"/>
      <c r="AC258" s="46">
        <f>[1]Calc!$B$32/[1]Calc!$B$47</f>
        <v>0.48832380908681178</v>
      </c>
      <c r="AD258" s="75"/>
      <c r="AE258" s="44"/>
      <c r="AF258" s="80"/>
      <c r="AG258" s="77">
        <f>AC258*24106.352</f>
        <v>11771.705631827483</v>
      </c>
      <c r="AH258" s="32" t="e">
        <f>[1]Calc!$C$32/[1]Calc!$C$47</f>
        <v>#DIV/0!</v>
      </c>
      <c r="AI258" s="75"/>
      <c r="AJ258" s="44"/>
      <c r="AK258" s="80"/>
      <c r="AL258" s="77"/>
      <c r="AM258" s="32" t="e">
        <f>[1]Calc!$D$32/[1]Calc!$D$47</f>
        <v>#DIV/0!</v>
      </c>
      <c r="AN258" s="75"/>
      <c r="AO258" s="44"/>
      <c r="AP258" s="80"/>
      <c r="AQ258" s="77"/>
      <c r="AR258" s="32" t="e">
        <f>[1]Calc!$E$32/[1]Calc!$E$47</f>
        <v>#DIV/0!</v>
      </c>
      <c r="AS258" s="75"/>
      <c r="AT258" s="44"/>
      <c r="AU258" s="80"/>
      <c r="AV258" s="77">
        <f t="shared" ref="AV258:AV263" si="10">AT258*AU258</f>
        <v>0</v>
      </c>
      <c r="AW258" s="30"/>
      <c r="AX258" s="75"/>
      <c r="AY258" s="44"/>
      <c r="AZ258" s="80"/>
      <c r="BA258" s="77">
        <f t="shared" ref="BA258:BA263" si="11">AG258+AL258+AQ258+AV258</f>
        <v>11771.705631827483</v>
      </c>
      <c r="BB258" s="9"/>
    </row>
    <row r="259" spans="1:54" x14ac:dyDescent="0.35">
      <c r="A259" s="54"/>
      <c r="B259" s="86" t="s">
        <v>157</v>
      </c>
      <c r="C259" s="74" t="s">
        <v>27</v>
      </c>
      <c r="D259" s="75" t="s">
        <v>28</v>
      </c>
      <c r="E259" s="44">
        <v>78.443997838939168</v>
      </c>
      <c r="F259" s="80">
        <v>1499.9999999999998</v>
      </c>
      <c r="G259" s="77">
        <v>117665.99675840873</v>
      </c>
      <c r="H259" s="74"/>
      <c r="I259" s="75" t="s">
        <v>28</v>
      </c>
      <c r="J259" s="44">
        <v>8.7666272256551228</v>
      </c>
      <c r="K259" s="80">
        <v>1500</v>
      </c>
      <c r="L259" s="77">
        <v>13149.940838482684</v>
      </c>
      <c r="M259" s="30"/>
      <c r="N259" s="75" t="s">
        <v>28</v>
      </c>
      <c r="O259" s="44">
        <v>26.124073560739777</v>
      </c>
      <c r="P259" s="80">
        <v>1500</v>
      </c>
      <c r="Q259" s="77">
        <v>39186.110341109663</v>
      </c>
      <c r="R259" s="30"/>
      <c r="S259" s="75" t="s">
        <v>28</v>
      </c>
      <c r="T259" s="44">
        <v>20.507106080743821</v>
      </c>
      <c r="U259" s="80">
        <v>1500</v>
      </c>
      <c r="V259" s="77">
        <v>30760.659121115732</v>
      </c>
      <c r="W259" s="30"/>
      <c r="X259" s="75" t="s">
        <v>28</v>
      </c>
      <c r="Y259" s="44">
        <v>23.046190971800435</v>
      </c>
      <c r="Z259" s="80">
        <v>1500</v>
      </c>
      <c r="AA259" s="77">
        <v>34569.286457700655</v>
      </c>
      <c r="AB259" s="74"/>
      <c r="AC259" s="46">
        <f>[1]Calc!$B$32/[1]Calc!$B$47</f>
        <v>0.48832380908681178</v>
      </c>
      <c r="AD259" s="75"/>
      <c r="AE259" s="44"/>
      <c r="AF259" s="80"/>
      <c r="AG259" s="77">
        <f>AC259*21019.326</f>
        <v>10264.23733675746</v>
      </c>
      <c r="AH259" s="32" t="e">
        <f>[1]Calc!$C$32/[1]Calc!$C$47</f>
        <v>#DIV/0!</v>
      </c>
      <c r="AI259" s="75"/>
      <c r="AJ259" s="44"/>
      <c r="AK259" s="80"/>
      <c r="AL259" s="77"/>
      <c r="AM259" s="32" t="e">
        <f>[1]Calc!$D$32/[1]Calc!$D$47</f>
        <v>#DIV/0!</v>
      </c>
      <c r="AN259" s="75"/>
      <c r="AO259" s="44"/>
      <c r="AP259" s="80"/>
      <c r="AQ259" s="77"/>
      <c r="AR259" s="32" t="e">
        <f>[1]Calc!$E$32/[1]Calc!$E$47</f>
        <v>#DIV/0!</v>
      </c>
      <c r="AS259" s="75"/>
      <c r="AT259" s="44"/>
      <c r="AU259" s="80"/>
      <c r="AV259" s="77">
        <f t="shared" si="10"/>
        <v>0</v>
      </c>
      <c r="AW259" s="30"/>
      <c r="AX259" s="75"/>
      <c r="AY259" s="44"/>
      <c r="AZ259" s="80"/>
      <c r="BA259" s="77">
        <f t="shared" si="11"/>
        <v>10264.23733675746</v>
      </c>
      <c r="BB259" s="9"/>
    </row>
    <row r="260" spans="1:54" x14ac:dyDescent="0.35">
      <c r="A260" s="54"/>
      <c r="B260" s="86" t="s">
        <v>158</v>
      </c>
      <c r="C260" s="74" t="s">
        <v>27</v>
      </c>
      <c r="D260" s="75" t="s">
        <v>28</v>
      </c>
      <c r="E260" s="44">
        <v>27.333403548904005</v>
      </c>
      <c r="F260" s="80">
        <v>1920</v>
      </c>
      <c r="G260" s="77">
        <v>52480.134813895689</v>
      </c>
      <c r="H260" s="74"/>
      <c r="I260" s="75" t="s">
        <v>28</v>
      </c>
      <c r="J260" s="44">
        <v>3.4092439210881027</v>
      </c>
      <c r="K260" s="80">
        <v>1920</v>
      </c>
      <c r="L260" s="77">
        <v>6545.7483284891568</v>
      </c>
      <c r="M260" s="30"/>
      <c r="N260" s="75" t="s">
        <v>28</v>
      </c>
      <c r="O260" s="44">
        <v>8.7080245202465925</v>
      </c>
      <c r="P260" s="80">
        <v>1920</v>
      </c>
      <c r="Q260" s="77">
        <v>16719.407078873457</v>
      </c>
      <c r="R260" s="30"/>
      <c r="S260" s="75" t="s">
        <v>28</v>
      </c>
      <c r="T260" s="44">
        <v>6.8357020269146069</v>
      </c>
      <c r="U260" s="80">
        <v>1920</v>
      </c>
      <c r="V260" s="77">
        <v>13124.547891676046</v>
      </c>
      <c r="W260" s="30"/>
      <c r="X260" s="75" t="s">
        <v>28</v>
      </c>
      <c r="Y260" s="44">
        <v>8.3804330806547043</v>
      </c>
      <c r="Z260" s="80">
        <v>1920</v>
      </c>
      <c r="AA260" s="77">
        <v>16090.431514857031</v>
      </c>
      <c r="AB260" s="74"/>
      <c r="AC260" s="46">
        <f>[1]Calc!$B$32/[1]Calc!$B$47</f>
        <v>0.48832380908681178</v>
      </c>
      <c r="AD260" s="75"/>
      <c r="AE260" s="44"/>
      <c r="AF260" s="80"/>
      <c r="AG260" s="77">
        <f>AC260*3058.706</f>
        <v>1493.6389647966857</v>
      </c>
      <c r="AH260" s="32" t="e">
        <f>[1]Calc!$C$32/[1]Calc!$C$47</f>
        <v>#DIV/0!</v>
      </c>
      <c r="AI260" s="75"/>
      <c r="AJ260" s="44"/>
      <c r="AK260" s="80"/>
      <c r="AL260" s="77"/>
      <c r="AM260" s="32" t="e">
        <f>[1]Calc!$D$32/[1]Calc!$D$47</f>
        <v>#DIV/0!</v>
      </c>
      <c r="AN260" s="75"/>
      <c r="AO260" s="44"/>
      <c r="AP260" s="80"/>
      <c r="AQ260" s="77"/>
      <c r="AR260" s="32" t="e">
        <f>[1]Calc!$E$32/[1]Calc!$E$47</f>
        <v>#DIV/0!</v>
      </c>
      <c r="AS260" s="75"/>
      <c r="AT260" s="44"/>
      <c r="AU260" s="80"/>
      <c r="AV260" s="77">
        <f t="shared" si="10"/>
        <v>0</v>
      </c>
      <c r="AW260" s="30"/>
      <c r="AX260" s="75"/>
      <c r="AY260" s="44"/>
      <c r="AZ260" s="80"/>
      <c r="BA260" s="77">
        <f t="shared" si="11"/>
        <v>1493.6389647966857</v>
      </c>
      <c r="BB260" s="9"/>
    </row>
    <row r="261" spans="1:54" x14ac:dyDescent="0.35">
      <c r="A261" s="54"/>
      <c r="B261" s="86" t="s">
        <v>159</v>
      </c>
      <c r="C261" s="74" t="s">
        <v>35</v>
      </c>
      <c r="D261" s="75" t="s">
        <v>28</v>
      </c>
      <c r="E261" s="44">
        <v>79.905102376548342</v>
      </c>
      <c r="F261" s="80">
        <v>609.79606894964149</v>
      </c>
      <c r="G261" s="77">
        <v>48725.817318237838</v>
      </c>
      <c r="H261" s="74"/>
      <c r="I261" s="75" t="s">
        <v>28</v>
      </c>
      <c r="J261" s="44">
        <v>10.227731763264309</v>
      </c>
      <c r="K261" s="80">
        <v>609.79606894964149</v>
      </c>
      <c r="L261" s="77">
        <v>6236.8306235099608</v>
      </c>
      <c r="M261" s="30"/>
      <c r="N261" s="75" t="s">
        <v>28</v>
      </c>
      <c r="O261" s="44">
        <v>26.124073560739777</v>
      </c>
      <c r="P261" s="80">
        <v>609.79606894964149</v>
      </c>
      <c r="Q261" s="77">
        <v>15930.35736229038</v>
      </c>
      <c r="R261" s="30"/>
      <c r="S261" s="75" t="s">
        <v>28</v>
      </c>
      <c r="T261" s="44">
        <v>20.507106080743821</v>
      </c>
      <c r="U261" s="80">
        <v>609.79606894964149</v>
      </c>
      <c r="V261" s="77">
        <v>12505.152673570872</v>
      </c>
      <c r="W261" s="30"/>
      <c r="X261" s="75" t="s">
        <v>28</v>
      </c>
      <c r="Y261" s="44">
        <v>23.046190971800435</v>
      </c>
      <c r="Z261" s="80">
        <v>609.79606894964149</v>
      </c>
      <c r="AA261" s="77">
        <v>14053.476658866623</v>
      </c>
      <c r="AB261" s="74"/>
      <c r="AC261" s="46">
        <f>[1]Calc!$B$32/[1]Calc!$B$47</f>
        <v>0.48832380908681178</v>
      </c>
      <c r="AD261" s="75"/>
      <c r="AE261" s="44"/>
      <c r="AF261" s="80"/>
      <c r="AG261" s="77">
        <f>AC261*14588.161</f>
        <v>7123.7463470916737</v>
      </c>
      <c r="AH261" s="32" t="e">
        <f>[1]Calc!$C$32/[1]Calc!$C$47</f>
        <v>#DIV/0!</v>
      </c>
      <c r="AI261" s="75"/>
      <c r="AJ261" s="44"/>
      <c r="AK261" s="80"/>
      <c r="AL261" s="77"/>
      <c r="AM261" s="32" t="e">
        <f>[1]Calc!$D$32/[1]Calc!$D$47</f>
        <v>#DIV/0!</v>
      </c>
      <c r="AN261" s="75"/>
      <c r="AO261" s="44"/>
      <c r="AP261" s="80"/>
      <c r="AQ261" s="77"/>
      <c r="AR261" s="32" t="e">
        <f>[1]Calc!$E$32/[1]Calc!$E$47</f>
        <v>#DIV/0!</v>
      </c>
      <c r="AS261" s="75"/>
      <c r="AT261" s="44"/>
      <c r="AU261" s="80"/>
      <c r="AV261" s="77">
        <f t="shared" si="10"/>
        <v>0</v>
      </c>
      <c r="AW261" s="30"/>
      <c r="AX261" s="75"/>
      <c r="AY261" s="44"/>
      <c r="AZ261" s="80"/>
      <c r="BA261" s="77">
        <f t="shared" si="11"/>
        <v>7123.7463470916737</v>
      </c>
      <c r="BB261" s="9"/>
    </row>
    <row r="262" spans="1:54" x14ac:dyDescent="0.35">
      <c r="A262" s="54"/>
      <c r="B262" s="86" t="s">
        <v>160</v>
      </c>
      <c r="C262" s="74" t="s">
        <v>35</v>
      </c>
      <c r="D262" s="75" t="s">
        <v>28</v>
      </c>
      <c r="E262" s="44">
        <v>209.18399423717111</v>
      </c>
      <c r="F262" s="80">
        <v>533.57156033093634</v>
      </c>
      <c r="G262" s="77">
        <v>111614.63020138498</v>
      </c>
      <c r="H262" s="74"/>
      <c r="I262" s="75" t="s">
        <v>28</v>
      </c>
      <c r="J262" s="82">
        <v>23.377672601746994</v>
      </c>
      <c r="K262" s="83">
        <v>533.57156033093634</v>
      </c>
      <c r="L262" s="77">
        <v>12473.661247019923</v>
      </c>
      <c r="M262" s="30"/>
      <c r="N262" s="75" t="s">
        <v>28</v>
      </c>
      <c r="O262" s="82">
        <v>69.66419616197274</v>
      </c>
      <c r="P262" s="83">
        <v>533.57156033093634</v>
      </c>
      <c r="Q262" s="77">
        <v>37170.833845344219</v>
      </c>
      <c r="R262" s="30"/>
      <c r="S262" s="75" t="s">
        <v>28</v>
      </c>
      <c r="T262" s="82">
        <v>54.685616215316855</v>
      </c>
      <c r="U262" s="83">
        <v>533.57156033093634</v>
      </c>
      <c r="V262" s="77">
        <v>29178.689571665367</v>
      </c>
      <c r="W262" s="30"/>
      <c r="X262" s="75" t="s">
        <v>28</v>
      </c>
      <c r="Y262" s="82">
        <v>61.456509258134496</v>
      </c>
      <c r="Z262" s="83">
        <v>533.57156033093634</v>
      </c>
      <c r="AA262" s="77">
        <v>32791.445537355459</v>
      </c>
      <c r="AB262" s="74"/>
      <c r="AC262" s="46">
        <f>[1]Calc!$B$32/[1]Calc!$B$47</f>
        <v>0.48832380908681178</v>
      </c>
      <c r="AD262" s="75"/>
      <c r="AE262" s="82"/>
      <c r="AF262" s="83"/>
      <c r="AG262" s="77">
        <f>AC262*26052.739</f>
        <v>12722.172745624537</v>
      </c>
      <c r="AH262" s="32" t="e">
        <f>[1]Calc!$C$32/[1]Calc!$C$47</f>
        <v>#DIV/0!</v>
      </c>
      <c r="AI262" s="75"/>
      <c r="AJ262" s="82"/>
      <c r="AK262" s="83"/>
      <c r="AL262" s="77"/>
      <c r="AM262" s="32" t="e">
        <f>[1]Calc!$D$32/[1]Calc!$D$47</f>
        <v>#DIV/0!</v>
      </c>
      <c r="AN262" s="75"/>
      <c r="AO262" s="82"/>
      <c r="AP262" s="83"/>
      <c r="AQ262" s="77"/>
      <c r="AR262" s="32" t="e">
        <f>[1]Calc!$E$32/[1]Calc!$E$47</f>
        <v>#DIV/0!</v>
      </c>
      <c r="AS262" s="75"/>
      <c r="AT262" s="82"/>
      <c r="AU262" s="83"/>
      <c r="AV262" s="77">
        <f t="shared" si="10"/>
        <v>0</v>
      </c>
      <c r="AW262" s="30"/>
      <c r="AX262" s="75"/>
      <c r="AY262" s="44"/>
      <c r="AZ262" s="80"/>
      <c r="BA262" s="77">
        <f t="shared" si="11"/>
        <v>12722.172745624537</v>
      </c>
      <c r="BB262" s="9"/>
    </row>
    <row r="263" spans="1:54" x14ac:dyDescent="0.35">
      <c r="A263" s="54"/>
      <c r="B263" s="85" t="s">
        <v>161</v>
      </c>
      <c r="C263" s="74" t="s">
        <v>27</v>
      </c>
      <c r="D263" s="75" t="s">
        <v>28</v>
      </c>
      <c r="E263" s="44">
        <v>17.365003703980715</v>
      </c>
      <c r="F263" s="80">
        <v>220</v>
      </c>
      <c r="G263" s="77">
        <v>3820.3008148757572</v>
      </c>
      <c r="H263" s="74"/>
      <c r="I263" s="75" t="s">
        <v>28</v>
      </c>
      <c r="J263" s="82">
        <v>3.4092439210881027</v>
      </c>
      <c r="K263" s="173">
        <v>220</v>
      </c>
      <c r="L263" s="77">
        <v>750.03366263938256</v>
      </c>
      <c r="M263" s="30"/>
      <c r="N263" s="75" t="s">
        <v>28</v>
      </c>
      <c r="O263" s="82">
        <v>5.0796809701438459</v>
      </c>
      <c r="P263" s="83">
        <v>220</v>
      </c>
      <c r="Q263" s="77">
        <v>1117.5298134316461</v>
      </c>
      <c r="R263" s="30"/>
      <c r="S263" s="75" t="s">
        <v>28</v>
      </c>
      <c r="T263" s="82">
        <v>3.9874928490335209</v>
      </c>
      <c r="U263" s="83">
        <v>220</v>
      </c>
      <c r="V263" s="77">
        <v>877.24842678737457</v>
      </c>
      <c r="W263" s="30"/>
      <c r="X263" s="75" t="s">
        <v>28</v>
      </c>
      <c r="Y263" s="82">
        <v>4.8885859637152445</v>
      </c>
      <c r="Z263" s="83">
        <v>220</v>
      </c>
      <c r="AA263" s="77">
        <v>1075.4889120173539</v>
      </c>
      <c r="AB263" s="74"/>
      <c r="AC263" s="46">
        <f>[1]Calc!$B$32/[1]Calc!$B$47</f>
        <v>0.48832380908681178</v>
      </c>
      <c r="AD263" s="75"/>
      <c r="AE263" s="82"/>
      <c r="AF263" s="173"/>
      <c r="AG263" s="77">
        <f>AC263*0</f>
        <v>0</v>
      </c>
      <c r="AH263" s="32" t="e">
        <f>[1]Calc!$C$32/[1]Calc!$C$47</f>
        <v>#DIV/0!</v>
      </c>
      <c r="AI263" s="75"/>
      <c r="AJ263" s="82"/>
      <c r="AK263" s="83"/>
      <c r="AL263" s="77"/>
      <c r="AM263" s="32" t="e">
        <f>[1]Calc!$D$32/[1]Calc!$D$47</f>
        <v>#DIV/0!</v>
      </c>
      <c r="AN263" s="75"/>
      <c r="AO263" s="82"/>
      <c r="AP263" s="83"/>
      <c r="AQ263" s="77"/>
      <c r="AR263" s="32" t="e">
        <f>[1]Calc!$E$32/[1]Calc!$E$47</f>
        <v>#DIV/0!</v>
      </c>
      <c r="AS263" s="75"/>
      <c r="AT263" s="82"/>
      <c r="AU263" s="83"/>
      <c r="AV263" s="77">
        <f t="shared" si="10"/>
        <v>0</v>
      </c>
      <c r="AW263" s="30"/>
      <c r="AX263" s="75"/>
      <c r="AY263" s="44"/>
      <c r="AZ263" s="80"/>
      <c r="BA263" s="77">
        <f t="shared" si="11"/>
        <v>0</v>
      </c>
      <c r="BB263" s="9"/>
    </row>
    <row r="264" spans="1:54" x14ac:dyDescent="0.35">
      <c r="A264" s="54"/>
      <c r="B264" s="55"/>
      <c r="C264" s="42"/>
      <c r="D264" s="43"/>
      <c r="E264" s="44"/>
      <c r="F264" s="89"/>
      <c r="G264" s="77"/>
      <c r="H264" s="42"/>
      <c r="I264" s="43"/>
      <c r="J264" s="44"/>
      <c r="K264" s="89"/>
      <c r="L264" s="77"/>
      <c r="M264" s="30"/>
      <c r="N264" s="43"/>
      <c r="O264" s="44"/>
      <c r="P264" s="89"/>
      <c r="Q264" s="77"/>
      <c r="R264" s="30"/>
      <c r="S264" s="43"/>
      <c r="T264" s="44"/>
      <c r="U264" s="89"/>
      <c r="V264" s="77"/>
      <c r="W264" s="30"/>
      <c r="X264" s="43"/>
      <c r="Y264" s="44"/>
      <c r="Z264" s="89"/>
      <c r="AA264" s="77"/>
      <c r="AB264" s="42"/>
      <c r="AC264" s="46"/>
      <c r="AD264" s="43"/>
      <c r="AE264" s="44"/>
      <c r="AF264" s="89"/>
      <c r="AG264" s="77"/>
      <c r="AH264" s="32" t="e">
        <f>[1]Calc!$C$32/[1]Calc!$C$47</f>
        <v>#DIV/0!</v>
      </c>
      <c r="AI264" s="43"/>
      <c r="AJ264" s="44"/>
      <c r="AK264" s="89"/>
      <c r="AL264" s="77"/>
      <c r="AM264" s="32" t="e">
        <f>[1]Calc!$D$32/[1]Calc!$D$47</f>
        <v>#DIV/0!</v>
      </c>
      <c r="AN264" s="43"/>
      <c r="AO264" s="44"/>
      <c r="AP264" s="89"/>
      <c r="AQ264" s="77"/>
      <c r="AR264" s="32" t="e">
        <f>[1]Calc!$E$32/[1]Calc!$E$47</f>
        <v>#DIV/0!</v>
      </c>
      <c r="AS264" s="43"/>
      <c r="AT264" s="44"/>
      <c r="AU264" s="89"/>
      <c r="AV264" s="77"/>
      <c r="AW264" s="30"/>
      <c r="AX264" s="43"/>
      <c r="AY264" s="44"/>
      <c r="AZ264" s="89"/>
      <c r="BA264" s="77"/>
      <c r="BB264" s="9"/>
    </row>
    <row r="265" spans="1:54" x14ac:dyDescent="0.35">
      <c r="A265" s="54"/>
      <c r="B265" s="55" t="s">
        <v>162</v>
      </c>
      <c r="C265" s="175"/>
      <c r="D265" s="43"/>
      <c r="E265" s="44"/>
      <c r="F265" s="45"/>
      <c r="G265" s="77"/>
      <c r="H265" s="175"/>
      <c r="I265" s="43"/>
      <c r="J265" s="44"/>
      <c r="K265" s="45"/>
      <c r="L265" s="77"/>
      <c r="M265" s="30"/>
      <c r="N265" s="43"/>
      <c r="O265" s="44"/>
      <c r="P265" s="45"/>
      <c r="Q265" s="77"/>
      <c r="R265" s="30"/>
      <c r="S265" s="43"/>
      <c r="T265" s="44"/>
      <c r="U265" s="45"/>
      <c r="V265" s="77"/>
      <c r="W265" s="30"/>
      <c r="X265" s="43"/>
      <c r="Y265" s="44"/>
      <c r="Z265" s="45"/>
      <c r="AA265" s="77"/>
      <c r="AB265" s="175"/>
      <c r="AC265" s="46"/>
      <c r="AD265" s="43"/>
      <c r="AE265" s="44"/>
      <c r="AF265" s="45"/>
      <c r="AG265" s="77"/>
      <c r="AH265" s="32" t="e">
        <f>[1]Calc!$C$32/[1]Calc!$C$47</f>
        <v>#DIV/0!</v>
      </c>
      <c r="AI265" s="43"/>
      <c r="AJ265" s="44"/>
      <c r="AK265" s="45"/>
      <c r="AL265" s="77"/>
      <c r="AM265" s="32" t="e">
        <f>[1]Calc!$D$32/[1]Calc!$D$47</f>
        <v>#DIV/0!</v>
      </c>
      <c r="AN265" s="43"/>
      <c r="AO265" s="44"/>
      <c r="AP265" s="45"/>
      <c r="AQ265" s="77"/>
      <c r="AR265" s="32" t="e">
        <f>[1]Calc!$E$32/[1]Calc!$E$47</f>
        <v>#DIV/0!</v>
      </c>
      <c r="AS265" s="43"/>
      <c r="AT265" s="44"/>
      <c r="AU265" s="45"/>
      <c r="AV265" s="77"/>
      <c r="AW265" s="30"/>
      <c r="AX265" s="43"/>
      <c r="AY265" s="44"/>
      <c r="AZ265" s="45"/>
      <c r="BA265" s="77"/>
      <c r="BB265" s="9"/>
    </row>
    <row r="266" spans="1:54" x14ac:dyDescent="0.35">
      <c r="A266" s="54"/>
      <c r="B266" s="86" t="s">
        <v>163</v>
      </c>
      <c r="C266" s="74"/>
      <c r="D266" s="75"/>
      <c r="E266" s="76"/>
      <c r="F266" s="77"/>
      <c r="G266" s="77"/>
      <c r="H266" s="74"/>
      <c r="I266" s="75"/>
      <c r="J266" s="76"/>
      <c r="K266" s="77"/>
      <c r="L266" s="77"/>
      <c r="M266" s="30"/>
      <c r="N266" s="75"/>
      <c r="O266" s="76"/>
      <c r="P266" s="77"/>
      <c r="Q266" s="77"/>
      <c r="R266" s="30"/>
      <c r="S266" s="75"/>
      <c r="T266" s="76"/>
      <c r="U266" s="77"/>
      <c r="V266" s="77"/>
      <c r="W266" s="30"/>
      <c r="X266" s="75"/>
      <c r="Y266" s="76"/>
      <c r="Z266" s="77"/>
      <c r="AA266" s="77"/>
      <c r="AB266" s="74"/>
      <c r="AC266" s="46"/>
      <c r="AD266" s="75"/>
      <c r="AE266" s="76"/>
      <c r="AF266" s="77"/>
      <c r="AG266" s="77"/>
      <c r="AH266" s="32" t="e">
        <f>[1]Calc!$C$32/[1]Calc!$C$47</f>
        <v>#DIV/0!</v>
      </c>
      <c r="AI266" s="75"/>
      <c r="AJ266" s="76"/>
      <c r="AK266" s="77"/>
      <c r="AL266" s="77"/>
      <c r="AM266" s="32" t="e">
        <f>[1]Calc!$D$32/[1]Calc!$D$47</f>
        <v>#DIV/0!</v>
      </c>
      <c r="AN266" s="75"/>
      <c r="AO266" s="76"/>
      <c r="AP266" s="77"/>
      <c r="AQ266" s="77"/>
      <c r="AR266" s="32" t="e">
        <f>[1]Calc!$E$32/[1]Calc!$E$47</f>
        <v>#DIV/0!</v>
      </c>
      <c r="AS266" s="75"/>
      <c r="AT266" s="76"/>
      <c r="AU266" s="77"/>
      <c r="AV266" s="77"/>
      <c r="AW266" s="30"/>
      <c r="AX266" s="75"/>
      <c r="AY266" s="76"/>
      <c r="AZ266" s="77"/>
      <c r="BA266" s="77"/>
      <c r="BB266" s="9"/>
    </row>
    <row r="267" spans="1:54" x14ac:dyDescent="0.35">
      <c r="A267" s="54"/>
      <c r="B267" s="79" t="s">
        <v>164</v>
      </c>
      <c r="C267" s="74" t="s">
        <v>27</v>
      </c>
      <c r="D267" s="75" t="s">
        <v>165</v>
      </c>
      <c r="E267" s="44">
        <v>7.442144444563163</v>
      </c>
      <c r="F267" s="80">
        <v>395.99999999999994</v>
      </c>
      <c r="G267" s="77">
        <v>2947.0892000470121</v>
      </c>
      <c r="H267" s="74"/>
      <c r="I267" s="75" t="s">
        <v>165</v>
      </c>
      <c r="J267" s="76">
        <v>1.4611045376091871</v>
      </c>
      <c r="K267" s="77">
        <v>396</v>
      </c>
      <c r="L267" s="77">
        <v>578.59739689323806</v>
      </c>
      <c r="M267" s="30"/>
      <c r="N267" s="75" t="s">
        <v>165</v>
      </c>
      <c r="O267" s="76">
        <v>2.1770061300616481</v>
      </c>
      <c r="P267" s="77">
        <v>396</v>
      </c>
      <c r="Q267" s="77">
        <v>862.09442750441269</v>
      </c>
      <c r="R267" s="30"/>
      <c r="S267" s="75" t="s">
        <v>165</v>
      </c>
      <c r="T267" s="76">
        <v>1.7089255067286517</v>
      </c>
      <c r="U267" s="77">
        <v>396</v>
      </c>
      <c r="V267" s="77">
        <v>676.73450066454609</v>
      </c>
      <c r="W267" s="30"/>
      <c r="X267" s="75" t="s">
        <v>165</v>
      </c>
      <c r="Y267" s="76">
        <v>2.0951082701636761</v>
      </c>
      <c r="Z267" s="77">
        <v>396</v>
      </c>
      <c r="AA267" s="77">
        <v>829.66287498481574</v>
      </c>
      <c r="AB267" s="74"/>
      <c r="AC267" s="46">
        <f>[1]Calc!$B$32/[1]Calc!$B$47</f>
        <v>0.48832380908681178</v>
      </c>
      <c r="AD267" s="75"/>
      <c r="AE267" s="76"/>
      <c r="AF267" s="77"/>
      <c r="AG267" s="77">
        <f>AC267*1862.561</f>
        <v>909.53288217654119</v>
      </c>
      <c r="AH267" s="32" t="e">
        <f>[1]Calc!$C$32/[1]Calc!$C$47</f>
        <v>#DIV/0!</v>
      </c>
      <c r="AI267" s="75"/>
      <c r="AJ267" s="76"/>
      <c r="AK267" s="77"/>
      <c r="AL267" s="77"/>
      <c r="AM267" s="32" t="e">
        <f>[1]Calc!$D$32/[1]Calc!$D$47</f>
        <v>#DIV/0!</v>
      </c>
      <c r="AN267" s="75"/>
      <c r="AO267" s="76"/>
      <c r="AP267" s="77"/>
      <c r="AQ267" s="77"/>
      <c r="AR267" s="32" t="e">
        <f>[1]Calc!$E$32/[1]Calc!$E$47</f>
        <v>#DIV/0!</v>
      </c>
      <c r="AS267" s="75"/>
      <c r="AT267" s="76"/>
      <c r="AU267" s="77"/>
      <c r="AV267" s="77">
        <f>AT267*AU267</f>
        <v>0</v>
      </c>
      <c r="AW267" s="30"/>
      <c r="AX267" s="75"/>
      <c r="AY267" s="44"/>
      <c r="AZ267" s="80"/>
      <c r="BA267" s="77">
        <f>AG267+AL267+AQ267+AV267</f>
        <v>909.53288217654119</v>
      </c>
      <c r="BB267" s="9"/>
    </row>
    <row r="268" spans="1:54" x14ac:dyDescent="0.35">
      <c r="A268" s="54"/>
      <c r="B268" s="79" t="s">
        <v>166</v>
      </c>
      <c r="C268" s="74" t="s">
        <v>27</v>
      </c>
      <c r="D268" s="75" t="s">
        <v>165</v>
      </c>
      <c r="E268" s="44">
        <v>2.4807148148543878</v>
      </c>
      <c r="F268" s="80">
        <v>610</v>
      </c>
      <c r="G268" s="77">
        <v>1513.2360370611766</v>
      </c>
      <c r="H268" s="74"/>
      <c r="I268" s="75" t="s">
        <v>165</v>
      </c>
      <c r="J268" s="76">
        <v>0.48703484586972901</v>
      </c>
      <c r="K268" s="77">
        <v>610</v>
      </c>
      <c r="L268" s="77">
        <v>297.0912559805347</v>
      </c>
      <c r="M268" s="30"/>
      <c r="N268" s="75" t="s">
        <v>165</v>
      </c>
      <c r="O268" s="76">
        <v>0.72566871002054945</v>
      </c>
      <c r="P268" s="77">
        <v>610</v>
      </c>
      <c r="Q268" s="77">
        <v>442.65791311253514</v>
      </c>
      <c r="R268" s="30"/>
      <c r="S268" s="75" t="s">
        <v>165</v>
      </c>
      <c r="T268" s="76">
        <v>0.56964183557621728</v>
      </c>
      <c r="U268" s="77">
        <v>610</v>
      </c>
      <c r="V268" s="77">
        <v>347.48151970149252</v>
      </c>
      <c r="W268" s="30"/>
      <c r="X268" s="75" t="s">
        <v>165</v>
      </c>
      <c r="Y268" s="76">
        <v>0.69836942338789199</v>
      </c>
      <c r="Z268" s="77">
        <v>610</v>
      </c>
      <c r="AA268" s="77">
        <v>426.00534826661413</v>
      </c>
      <c r="AB268" s="74"/>
      <c r="AC268" s="46">
        <f>[1]Calc!$B$32/[1]Calc!$B$47</f>
        <v>0.48832380908681178</v>
      </c>
      <c r="AD268" s="75"/>
      <c r="AE268" s="76"/>
      <c r="AF268" s="77"/>
      <c r="AG268" s="77">
        <f>AC268*0</f>
        <v>0</v>
      </c>
      <c r="AH268" s="32" t="e">
        <f>[1]Calc!$C$32/[1]Calc!$C$47</f>
        <v>#DIV/0!</v>
      </c>
      <c r="AI268" s="75"/>
      <c r="AJ268" s="76"/>
      <c r="AK268" s="77"/>
      <c r="AL268" s="77"/>
      <c r="AM268" s="32" t="e">
        <f>[1]Calc!$D$32/[1]Calc!$D$47</f>
        <v>#DIV/0!</v>
      </c>
      <c r="AN268" s="75"/>
      <c r="AO268" s="76"/>
      <c r="AP268" s="77"/>
      <c r="AQ268" s="77"/>
      <c r="AR268" s="32" t="e">
        <f>[1]Calc!$E$32/[1]Calc!$E$47</f>
        <v>#DIV/0!</v>
      </c>
      <c r="AS268" s="75"/>
      <c r="AT268" s="76"/>
      <c r="AU268" s="77"/>
      <c r="AV268" s="77">
        <f>AT268*AU268</f>
        <v>0</v>
      </c>
      <c r="AW268" s="30"/>
      <c r="AX268" s="75"/>
      <c r="AY268" s="44"/>
      <c r="AZ268" s="80"/>
      <c r="BA268" s="77">
        <f>AG268+AL268+AQ268+AV268</f>
        <v>0</v>
      </c>
      <c r="BB268" s="9"/>
    </row>
    <row r="269" spans="1:54" x14ac:dyDescent="0.35">
      <c r="A269" s="54"/>
      <c r="B269" s="86"/>
      <c r="C269" s="74"/>
      <c r="D269" s="75"/>
      <c r="E269" s="76"/>
      <c r="F269" s="77"/>
      <c r="G269" s="77"/>
      <c r="H269" s="74"/>
      <c r="I269" s="75"/>
      <c r="J269" s="76"/>
      <c r="K269" s="77"/>
      <c r="L269" s="77"/>
      <c r="M269" s="30"/>
      <c r="N269" s="75"/>
      <c r="O269" s="76"/>
      <c r="P269" s="77"/>
      <c r="Q269" s="77"/>
      <c r="R269" s="30"/>
      <c r="S269" s="75"/>
      <c r="T269" s="76"/>
      <c r="U269" s="77"/>
      <c r="V269" s="77"/>
      <c r="W269" s="30"/>
      <c r="X269" s="75"/>
      <c r="Y269" s="76"/>
      <c r="Z269" s="77"/>
      <c r="AA269" s="77"/>
      <c r="AB269" s="74"/>
      <c r="AC269" s="46"/>
      <c r="AD269" s="75"/>
      <c r="AE269" s="76"/>
      <c r="AF269" s="77"/>
      <c r="AG269" s="77"/>
      <c r="AH269" s="32" t="e">
        <f>[1]Calc!$C$32/[1]Calc!$C$47</f>
        <v>#DIV/0!</v>
      </c>
      <c r="AI269" s="75"/>
      <c r="AJ269" s="76"/>
      <c r="AK269" s="77"/>
      <c r="AL269" s="77"/>
      <c r="AM269" s="32" t="e">
        <f>[1]Calc!$D$32/[1]Calc!$D$47</f>
        <v>#DIV/0!</v>
      </c>
      <c r="AN269" s="75"/>
      <c r="AO269" s="76"/>
      <c r="AP269" s="77"/>
      <c r="AQ269" s="77"/>
      <c r="AR269" s="32" t="e">
        <f>[1]Calc!$E$32/[1]Calc!$E$47</f>
        <v>#DIV/0!</v>
      </c>
      <c r="AS269" s="75"/>
      <c r="AT269" s="76"/>
      <c r="AU269" s="77"/>
      <c r="AV269" s="77"/>
      <c r="AW269" s="30"/>
      <c r="AX269" s="75"/>
      <c r="AY269" s="76"/>
      <c r="AZ269" s="77"/>
      <c r="BA269" s="77"/>
      <c r="BB269" s="9"/>
    </row>
    <row r="270" spans="1:54" x14ac:dyDescent="0.35">
      <c r="A270" s="54"/>
      <c r="B270" s="86" t="s">
        <v>167</v>
      </c>
      <c r="C270" s="74"/>
      <c r="D270" s="75"/>
      <c r="E270" s="76"/>
      <c r="F270" s="77"/>
      <c r="G270" s="77"/>
      <c r="H270" s="74"/>
      <c r="I270" s="75"/>
      <c r="J270" s="76"/>
      <c r="K270" s="77"/>
      <c r="L270" s="77"/>
      <c r="M270" s="30"/>
      <c r="N270" s="75"/>
      <c r="O270" s="76"/>
      <c r="P270" s="77"/>
      <c r="Q270" s="77"/>
      <c r="R270" s="30"/>
      <c r="S270" s="75"/>
      <c r="T270" s="76"/>
      <c r="U270" s="77"/>
      <c r="V270" s="77"/>
      <c r="W270" s="30"/>
      <c r="X270" s="75"/>
      <c r="Y270" s="76"/>
      <c r="Z270" s="77"/>
      <c r="AA270" s="77"/>
      <c r="AB270" s="74"/>
      <c r="AC270" s="46"/>
      <c r="AD270" s="75"/>
      <c r="AE270" s="76"/>
      <c r="AF270" s="77"/>
      <c r="AG270" s="77"/>
      <c r="AH270" s="32" t="e">
        <f>[1]Calc!$C$32/[1]Calc!$C$47</f>
        <v>#DIV/0!</v>
      </c>
      <c r="AI270" s="75"/>
      <c r="AJ270" s="76"/>
      <c r="AK270" s="77"/>
      <c r="AL270" s="77"/>
      <c r="AM270" s="32" t="e">
        <f>[1]Calc!$D$32/[1]Calc!$D$47</f>
        <v>#DIV/0!</v>
      </c>
      <c r="AN270" s="75"/>
      <c r="AO270" s="76"/>
      <c r="AP270" s="77"/>
      <c r="AQ270" s="77"/>
      <c r="AR270" s="32" t="e">
        <f>[1]Calc!$E$32/[1]Calc!$E$47</f>
        <v>#DIV/0!</v>
      </c>
      <c r="AS270" s="75"/>
      <c r="AT270" s="76"/>
      <c r="AU270" s="77"/>
      <c r="AV270" s="77"/>
      <c r="AW270" s="30"/>
      <c r="AX270" s="75"/>
      <c r="AY270" s="76"/>
      <c r="AZ270" s="77"/>
      <c r="BA270" s="77"/>
      <c r="BB270" s="9"/>
    </row>
    <row r="271" spans="1:54" x14ac:dyDescent="0.35">
      <c r="A271" s="54"/>
      <c r="B271" s="86" t="s">
        <v>168</v>
      </c>
      <c r="C271" s="74" t="s">
        <v>27</v>
      </c>
      <c r="D271" s="75" t="s">
        <v>103</v>
      </c>
      <c r="E271" s="44">
        <v>24.807148148543874</v>
      </c>
      <c r="F271" s="80">
        <v>76</v>
      </c>
      <c r="G271" s="77">
        <v>1885.3432592893346</v>
      </c>
      <c r="H271" s="74"/>
      <c r="I271" s="75" t="s">
        <v>103</v>
      </c>
      <c r="J271" s="76">
        <v>4.8703484586972898</v>
      </c>
      <c r="K271" s="77">
        <v>76</v>
      </c>
      <c r="L271" s="77">
        <v>370.14648286099401</v>
      </c>
      <c r="M271" s="30"/>
      <c r="N271" s="75" t="s">
        <v>103</v>
      </c>
      <c r="O271" s="76">
        <v>7.256687100205494</v>
      </c>
      <c r="P271" s="77">
        <v>76</v>
      </c>
      <c r="Q271" s="77">
        <v>551.50821961561758</v>
      </c>
      <c r="R271" s="30"/>
      <c r="S271" s="75" t="s">
        <v>103</v>
      </c>
      <c r="T271" s="76">
        <v>5.696418355762173</v>
      </c>
      <c r="U271" s="77">
        <v>76</v>
      </c>
      <c r="V271" s="77">
        <v>432.92779503792514</v>
      </c>
      <c r="W271" s="30"/>
      <c r="X271" s="75" t="s">
        <v>103</v>
      </c>
      <c r="Y271" s="76">
        <v>6.9836942338789196</v>
      </c>
      <c r="Z271" s="77">
        <v>76</v>
      </c>
      <c r="AA271" s="77">
        <v>530.76076177479786</v>
      </c>
      <c r="AB271" s="74"/>
      <c r="AC271" s="46">
        <f>[1]Calc!$B$32/[1]Calc!$B$47</f>
        <v>0.48832380908681178</v>
      </c>
      <c r="AD271" s="75"/>
      <c r="AE271" s="76"/>
      <c r="AF271" s="77"/>
      <c r="AG271" s="77">
        <f>AC271*1004.635</f>
        <v>490.58718994192913</v>
      </c>
      <c r="AH271" s="32" t="e">
        <f>[1]Calc!$C$32/[1]Calc!$C$47</f>
        <v>#DIV/0!</v>
      </c>
      <c r="AI271" s="75"/>
      <c r="AJ271" s="76"/>
      <c r="AK271" s="77"/>
      <c r="AL271" s="77"/>
      <c r="AM271" s="32" t="e">
        <f>[1]Calc!$D$32/[1]Calc!$D$47</f>
        <v>#DIV/0!</v>
      </c>
      <c r="AN271" s="75"/>
      <c r="AO271" s="76"/>
      <c r="AP271" s="77"/>
      <c r="AQ271" s="77"/>
      <c r="AR271" s="32" t="e">
        <f>[1]Calc!$E$32/[1]Calc!$E$47</f>
        <v>#DIV/0!</v>
      </c>
      <c r="AS271" s="75"/>
      <c r="AT271" s="76"/>
      <c r="AU271" s="77"/>
      <c r="AV271" s="77">
        <f>AT271*AU271</f>
        <v>0</v>
      </c>
      <c r="AW271" s="30"/>
      <c r="AX271" s="75"/>
      <c r="AY271" s="44"/>
      <c r="AZ271" s="80"/>
      <c r="BA271" s="77">
        <f>AG271+AL271+AQ271+AV271</f>
        <v>490.58718994192913</v>
      </c>
      <c r="BB271" s="9"/>
    </row>
    <row r="272" spans="1:54" x14ac:dyDescent="0.35">
      <c r="A272" s="54"/>
      <c r="B272" s="86" t="s">
        <v>169</v>
      </c>
      <c r="C272" s="74" t="s">
        <v>27</v>
      </c>
      <c r="D272" s="75" t="s">
        <v>103</v>
      </c>
      <c r="E272" s="44">
        <v>19.845718518835103</v>
      </c>
      <c r="F272" s="80">
        <v>76</v>
      </c>
      <c r="G272" s="77">
        <v>1508.2746074314678</v>
      </c>
      <c r="H272" s="74"/>
      <c r="I272" s="75" t="s">
        <v>103</v>
      </c>
      <c r="J272" s="76">
        <v>3.896278766957832</v>
      </c>
      <c r="K272" s="77">
        <v>76</v>
      </c>
      <c r="L272" s="77">
        <v>296.11718628879521</v>
      </c>
      <c r="M272" s="30"/>
      <c r="N272" s="75" t="s">
        <v>103</v>
      </c>
      <c r="O272" s="76">
        <v>5.8053496801643956</v>
      </c>
      <c r="P272" s="77">
        <v>76</v>
      </c>
      <c r="Q272" s="77">
        <v>441.20657569249408</v>
      </c>
      <c r="R272" s="30"/>
      <c r="S272" s="75" t="s">
        <v>103</v>
      </c>
      <c r="T272" s="76">
        <v>4.5571346846097383</v>
      </c>
      <c r="U272" s="77">
        <v>76</v>
      </c>
      <c r="V272" s="77">
        <v>346.34223603034013</v>
      </c>
      <c r="W272" s="30"/>
      <c r="X272" s="75" t="s">
        <v>103</v>
      </c>
      <c r="Y272" s="76">
        <v>5.5869553871031359</v>
      </c>
      <c r="Z272" s="77">
        <v>76</v>
      </c>
      <c r="AA272" s="77">
        <v>424.60860941983833</v>
      </c>
      <c r="AB272" s="74"/>
      <c r="AC272" s="46">
        <f>[1]Calc!$B$32/[1]Calc!$B$47</f>
        <v>0.48832380908681178</v>
      </c>
      <c r="AD272" s="75"/>
      <c r="AE272" s="76"/>
      <c r="AF272" s="77"/>
      <c r="AG272" s="77">
        <f>AC272*1222.923</f>
        <v>597.18241757987107</v>
      </c>
      <c r="AH272" s="32" t="e">
        <f>[1]Calc!$C$32/[1]Calc!$C$47</f>
        <v>#DIV/0!</v>
      </c>
      <c r="AI272" s="75"/>
      <c r="AJ272" s="76"/>
      <c r="AK272" s="77"/>
      <c r="AL272" s="77"/>
      <c r="AM272" s="32" t="e">
        <f>[1]Calc!$D$32/[1]Calc!$D$47</f>
        <v>#DIV/0!</v>
      </c>
      <c r="AN272" s="75"/>
      <c r="AO272" s="76"/>
      <c r="AP272" s="77"/>
      <c r="AQ272" s="77"/>
      <c r="AR272" s="32" t="e">
        <f>[1]Calc!$E$32/[1]Calc!$E$47</f>
        <v>#DIV/0!</v>
      </c>
      <c r="AS272" s="75"/>
      <c r="AT272" s="76"/>
      <c r="AU272" s="77"/>
      <c r="AV272" s="77">
        <f>AT272*AU272</f>
        <v>0</v>
      </c>
      <c r="AW272" s="30"/>
      <c r="AX272" s="75"/>
      <c r="AY272" s="44"/>
      <c r="AZ272" s="80"/>
      <c r="BA272" s="77">
        <f>AG272+AL272+AQ272+AV272</f>
        <v>597.18241757987107</v>
      </c>
      <c r="BB272" s="9"/>
    </row>
    <row r="273" spans="1:54" x14ac:dyDescent="0.35">
      <c r="A273" s="54"/>
      <c r="B273" s="86" t="s">
        <v>170</v>
      </c>
      <c r="C273" s="74" t="s">
        <v>27</v>
      </c>
      <c r="D273" s="75" t="s">
        <v>103</v>
      </c>
      <c r="E273" s="44">
        <v>2.4807148148543878</v>
      </c>
      <c r="F273" s="80">
        <v>152</v>
      </c>
      <c r="G273" s="77">
        <v>377.06865185786694</v>
      </c>
      <c r="H273" s="74"/>
      <c r="I273" s="75" t="s">
        <v>103</v>
      </c>
      <c r="J273" s="76">
        <v>0.48703484586972901</v>
      </c>
      <c r="K273" s="77">
        <v>152</v>
      </c>
      <c r="L273" s="77">
        <v>74.029296572198803</v>
      </c>
      <c r="M273" s="30"/>
      <c r="N273" s="75" t="s">
        <v>103</v>
      </c>
      <c r="O273" s="76">
        <v>0.72566871002054945</v>
      </c>
      <c r="P273" s="77">
        <v>152</v>
      </c>
      <c r="Q273" s="77">
        <v>110.30164392312352</v>
      </c>
      <c r="R273" s="30"/>
      <c r="S273" s="75" t="s">
        <v>103</v>
      </c>
      <c r="T273" s="76">
        <v>0.56964183557621728</v>
      </c>
      <c r="U273" s="77">
        <v>152</v>
      </c>
      <c r="V273" s="77">
        <v>86.585559007585033</v>
      </c>
      <c r="W273" s="30"/>
      <c r="X273" s="75" t="s">
        <v>103</v>
      </c>
      <c r="Y273" s="76">
        <v>0.69836942338789199</v>
      </c>
      <c r="Z273" s="77">
        <v>152</v>
      </c>
      <c r="AA273" s="77">
        <v>106.15215235495958</v>
      </c>
      <c r="AB273" s="74"/>
      <c r="AC273" s="46">
        <f>[1]Calc!$B$32/[1]Calc!$B$47</f>
        <v>0.48832380908681178</v>
      </c>
      <c r="AD273" s="75"/>
      <c r="AE273" s="76"/>
      <c r="AF273" s="77"/>
      <c r="AG273" s="77">
        <f>AC273*0</f>
        <v>0</v>
      </c>
      <c r="AH273" s="32" t="e">
        <f>[1]Calc!$C$32/[1]Calc!$C$47</f>
        <v>#DIV/0!</v>
      </c>
      <c r="AI273" s="75"/>
      <c r="AJ273" s="76"/>
      <c r="AK273" s="77"/>
      <c r="AL273" s="77"/>
      <c r="AM273" s="32" t="e">
        <f>[1]Calc!$D$32/[1]Calc!$D$47</f>
        <v>#DIV/0!</v>
      </c>
      <c r="AN273" s="75"/>
      <c r="AO273" s="76"/>
      <c r="AP273" s="77"/>
      <c r="AQ273" s="77"/>
      <c r="AR273" s="32" t="e">
        <f>[1]Calc!$E$32/[1]Calc!$E$47</f>
        <v>#DIV/0!</v>
      </c>
      <c r="AS273" s="75"/>
      <c r="AT273" s="76"/>
      <c r="AU273" s="77"/>
      <c r="AV273" s="77">
        <f>AT273*AU273</f>
        <v>0</v>
      </c>
      <c r="AW273" s="30"/>
      <c r="AX273" s="75"/>
      <c r="AY273" s="44"/>
      <c r="AZ273" s="80"/>
      <c r="BA273" s="77">
        <f>AG273+AL273+AQ273+AV273</f>
        <v>0</v>
      </c>
      <c r="BB273" s="9"/>
    </row>
    <row r="274" spans="1:54" x14ac:dyDescent="0.35">
      <c r="A274" s="54"/>
      <c r="B274" s="86"/>
      <c r="C274" s="74"/>
      <c r="D274" s="75"/>
      <c r="E274" s="76"/>
      <c r="F274" s="77"/>
      <c r="G274" s="77"/>
      <c r="H274" s="74"/>
      <c r="I274" s="75"/>
      <c r="J274" s="76"/>
      <c r="K274" s="77"/>
      <c r="L274" s="77"/>
      <c r="M274" s="30"/>
      <c r="N274" s="75"/>
      <c r="O274" s="76"/>
      <c r="P274" s="77"/>
      <c r="Q274" s="77"/>
      <c r="R274" s="30"/>
      <c r="S274" s="75"/>
      <c r="T274" s="76"/>
      <c r="U274" s="77"/>
      <c r="V274" s="77"/>
      <c r="W274" s="30"/>
      <c r="X274" s="75"/>
      <c r="Y274" s="76"/>
      <c r="Z274" s="77"/>
      <c r="AA274" s="77"/>
      <c r="AB274" s="74"/>
      <c r="AC274" s="46"/>
      <c r="AD274" s="75"/>
      <c r="AE274" s="76"/>
      <c r="AF274" s="77"/>
      <c r="AG274" s="77"/>
      <c r="AH274" s="32" t="e">
        <f>[1]Calc!$C$32/[1]Calc!$C$47</f>
        <v>#DIV/0!</v>
      </c>
      <c r="AI274" s="75"/>
      <c r="AJ274" s="76"/>
      <c r="AK274" s="77"/>
      <c r="AL274" s="77"/>
      <c r="AM274" s="32" t="e">
        <f>[1]Calc!$D$32/[1]Calc!$D$47</f>
        <v>#DIV/0!</v>
      </c>
      <c r="AN274" s="75"/>
      <c r="AO274" s="76"/>
      <c r="AP274" s="77"/>
      <c r="AQ274" s="77"/>
      <c r="AR274" s="32" t="e">
        <f>[1]Calc!$E$32/[1]Calc!$E$47</f>
        <v>#DIV/0!</v>
      </c>
      <c r="AS274" s="75"/>
      <c r="AT274" s="76"/>
      <c r="AU274" s="77"/>
      <c r="AV274" s="77"/>
      <c r="AW274" s="30"/>
      <c r="AX274" s="75"/>
      <c r="AY274" s="76"/>
      <c r="AZ274" s="77"/>
      <c r="BA274" s="77"/>
      <c r="BB274" s="9"/>
    </row>
    <row r="275" spans="1:54" x14ac:dyDescent="0.35">
      <c r="A275" s="54"/>
      <c r="B275" s="71" t="s">
        <v>171</v>
      </c>
      <c r="C275" s="74"/>
      <c r="D275" s="75"/>
      <c r="E275" s="76"/>
      <c r="F275" s="77"/>
      <c r="G275" s="77"/>
      <c r="H275" s="74"/>
      <c r="I275" s="75"/>
      <c r="J275" s="76"/>
      <c r="K275" s="77"/>
      <c r="L275" s="77"/>
      <c r="M275" s="30"/>
      <c r="N275" s="75"/>
      <c r="O275" s="76"/>
      <c r="P275" s="77"/>
      <c r="Q275" s="77"/>
      <c r="R275" s="30"/>
      <c r="S275" s="75"/>
      <c r="T275" s="76"/>
      <c r="U275" s="77"/>
      <c r="V275" s="77"/>
      <c r="W275" s="30"/>
      <c r="X275" s="75"/>
      <c r="Y275" s="76"/>
      <c r="Z275" s="77"/>
      <c r="AA275" s="77"/>
      <c r="AB275" s="74"/>
      <c r="AC275" s="46"/>
      <c r="AD275" s="75"/>
      <c r="AE275" s="76"/>
      <c r="AF275" s="77"/>
      <c r="AG275" s="77"/>
      <c r="AH275" s="32" t="e">
        <f>[1]Calc!$C$32/[1]Calc!$C$47</f>
        <v>#DIV/0!</v>
      </c>
      <c r="AI275" s="75"/>
      <c r="AJ275" s="76"/>
      <c r="AK275" s="77"/>
      <c r="AL275" s="77"/>
      <c r="AM275" s="32" t="e">
        <f>[1]Calc!$D$32/[1]Calc!$D$47</f>
        <v>#DIV/0!</v>
      </c>
      <c r="AN275" s="75"/>
      <c r="AO275" s="76"/>
      <c r="AP275" s="77"/>
      <c r="AQ275" s="77"/>
      <c r="AR275" s="32" t="e">
        <f>[1]Calc!$E$32/[1]Calc!$E$47</f>
        <v>#DIV/0!</v>
      </c>
      <c r="AS275" s="75"/>
      <c r="AT275" s="76"/>
      <c r="AU275" s="77"/>
      <c r="AV275" s="77"/>
      <c r="AW275" s="30"/>
      <c r="AX275" s="75"/>
      <c r="AY275" s="76"/>
      <c r="AZ275" s="77"/>
      <c r="BA275" s="77"/>
      <c r="BB275" s="9"/>
    </row>
    <row r="276" spans="1:54" x14ac:dyDescent="0.35">
      <c r="A276" s="54"/>
      <c r="B276" s="73" t="s">
        <v>164</v>
      </c>
      <c r="C276" s="74"/>
      <c r="D276" s="75"/>
      <c r="E276" s="76"/>
      <c r="F276" s="77"/>
      <c r="G276" s="77"/>
      <c r="H276" s="74"/>
      <c r="I276" s="75"/>
      <c r="J276" s="76"/>
      <c r="K276" s="77"/>
      <c r="L276" s="77"/>
      <c r="M276" s="30"/>
      <c r="N276" s="75"/>
      <c r="O276" s="76"/>
      <c r="P276" s="77"/>
      <c r="Q276" s="77"/>
      <c r="R276" s="30"/>
      <c r="S276" s="75"/>
      <c r="T276" s="76"/>
      <c r="U276" s="77"/>
      <c r="V276" s="77"/>
      <c r="W276" s="30"/>
      <c r="X276" s="75"/>
      <c r="Y276" s="76"/>
      <c r="Z276" s="77"/>
      <c r="AA276" s="77"/>
      <c r="AB276" s="74"/>
      <c r="AC276" s="46"/>
      <c r="AD276" s="75"/>
      <c r="AE276" s="76"/>
      <c r="AF276" s="77"/>
      <c r="AG276" s="77"/>
      <c r="AH276" s="32" t="e">
        <f>[1]Calc!$C$32/[1]Calc!$C$47</f>
        <v>#DIV/0!</v>
      </c>
      <c r="AI276" s="75"/>
      <c r="AJ276" s="76"/>
      <c r="AK276" s="77"/>
      <c r="AL276" s="77"/>
      <c r="AM276" s="32" t="e">
        <f>[1]Calc!$D$32/[1]Calc!$D$47</f>
        <v>#DIV/0!</v>
      </c>
      <c r="AN276" s="75"/>
      <c r="AO276" s="76"/>
      <c r="AP276" s="77"/>
      <c r="AQ276" s="77"/>
      <c r="AR276" s="32" t="e">
        <f>[1]Calc!$E$32/[1]Calc!$E$47</f>
        <v>#DIV/0!</v>
      </c>
      <c r="AS276" s="75"/>
      <c r="AT276" s="76"/>
      <c r="AU276" s="77"/>
      <c r="AV276" s="77"/>
      <c r="AW276" s="30"/>
      <c r="AX276" s="75"/>
      <c r="AY276" s="76"/>
      <c r="AZ276" s="77"/>
      <c r="BA276" s="77"/>
      <c r="BB276" s="9"/>
    </row>
    <row r="277" spans="1:54" x14ac:dyDescent="0.35">
      <c r="A277" s="54"/>
      <c r="B277" s="79" t="s">
        <v>172</v>
      </c>
      <c r="C277" s="74" t="s">
        <v>27</v>
      </c>
      <c r="D277" s="75" t="s">
        <v>56</v>
      </c>
      <c r="E277" s="44">
        <v>37.210722222815818</v>
      </c>
      <c r="F277" s="80">
        <v>38.112254309352593</v>
      </c>
      <c r="G277" s="77">
        <v>1418.1845083906344</v>
      </c>
      <c r="H277" s="74"/>
      <c r="I277" s="75" t="s">
        <v>56</v>
      </c>
      <c r="J277" s="76">
        <v>7.3055226880459347</v>
      </c>
      <c r="K277" s="77">
        <v>38.112254309352593</v>
      </c>
      <c r="L277" s="77">
        <v>278.42993854955182</v>
      </c>
      <c r="M277" s="30"/>
      <c r="N277" s="75" t="s">
        <v>56</v>
      </c>
      <c r="O277" s="76">
        <v>10.885030650308241</v>
      </c>
      <c r="P277" s="77">
        <v>38.112254309352593</v>
      </c>
      <c r="Q277" s="77">
        <v>414.85305630964535</v>
      </c>
      <c r="R277" s="30"/>
      <c r="S277" s="75" t="s">
        <v>56</v>
      </c>
      <c r="T277" s="76">
        <v>8.5446275336432578</v>
      </c>
      <c r="U277" s="77">
        <v>38.112254309352593</v>
      </c>
      <c r="V277" s="77">
        <v>325.65501754090809</v>
      </c>
      <c r="W277" s="30"/>
      <c r="X277" s="75" t="s">
        <v>56</v>
      </c>
      <c r="Y277" s="76">
        <v>10.47554135081838</v>
      </c>
      <c r="Z277" s="77">
        <v>38.112254309352593</v>
      </c>
      <c r="AA277" s="77">
        <v>399.24649599052913</v>
      </c>
      <c r="AB277" s="74"/>
      <c r="AC277" s="46">
        <f>[1]Calc!$B$32/[1]Calc!$B$47</f>
        <v>0.48832380908681178</v>
      </c>
      <c r="AD277" s="75"/>
      <c r="AE277" s="76"/>
      <c r="AF277" s="77"/>
      <c r="AG277" s="77">
        <f>AC277*0</f>
        <v>0</v>
      </c>
      <c r="AH277" s="32" t="e">
        <f>[1]Calc!$C$32/[1]Calc!$C$47</f>
        <v>#DIV/0!</v>
      </c>
      <c r="AI277" s="75"/>
      <c r="AJ277" s="76"/>
      <c r="AK277" s="77"/>
      <c r="AL277" s="77"/>
      <c r="AM277" s="32" t="e">
        <f>[1]Calc!$D$32/[1]Calc!$D$47</f>
        <v>#DIV/0!</v>
      </c>
      <c r="AN277" s="75"/>
      <c r="AO277" s="76"/>
      <c r="AP277" s="77"/>
      <c r="AQ277" s="77"/>
      <c r="AR277" s="32" t="e">
        <f>[1]Calc!$E$32/[1]Calc!$E$47</f>
        <v>#DIV/0!</v>
      </c>
      <c r="AS277" s="75"/>
      <c r="AT277" s="76"/>
      <c r="AU277" s="77"/>
      <c r="AV277" s="77">
        <f>AT277*AU277</f>
        <v>0</v>
      </c>
      <c r="AW277" s="30"/>
      <c r="AX277" s="75"/>
      <c r="AY277" s="44"/>
      <c r="AZ277" s="80"/>
      <c r="BA277" s="77">
        <f>AG277+AL277+AQ277+AV277</f>
        <v>0</v>
      </c>
      <c r="BB277" s="9"/>
    </row>
    <row r="278" spans="1:54" x14ac:dyDescent="0.35">
      <c r="A278" s="54"/>
      <c r="B278" s="79" t="s">
        <v>173</v>
      </c>
      <c r="C278" s="74" t="s">
        <v>27</v>
      </c>
      <c r="D278" s="75" t="s">
        <v>58</v>
      </c>
      <c r="E278" s="44">
        <v>29.768577778252652</v>
      </c>
      <c r="F278" s="80">
        <v>76</v>
      </c>
      <c r="G278" s="77">
        <v>2262.4119111472014</v>
      </c>
      <c r="H278" s="74"/>
      <c r="I278" s="75" t="s">
        <v>58</v>
      </c>
      <c r="J278" s="76">
        <v>5.8444181504367485</v>
      </c>
      <c r="K278" s="77">
        <v>76</v>
      </c>
      <c r="L278" s="77">
        <v>444.17577943319287</v>
      </c>
      <c r="M278" s="30"/>
      <c r="N278" s="75" t="s">
        <v>58</v>
      </c>
      <c r="O278" s="76">
        <v>8.7080245202465925</v>
      </c>
      <c r="P278" s="77">
        <v>76</v>
      </c>
      <c r="Q278" s="77">
        <v>661.80986353874107</v>
      </c>
      <c r="R278" s="30"/>
      <c r="S278" s="75" t="s">
        <v>58</v>
      </c>
      <c r="T278" s="76">
        <v>6.8357020269146069</v>
      </c>
      <c r="U278" s="77">
        <v>76</v>
      </c>
      <c r="V278" s="77">
        <v>519.51335404551014</v>
      </c>
      <c r="W278" s="30"/>
      <c r="X278" s="75" t="s">
        <v>58</v>
      </c>
      <c r="Y278" s="76">
        <v>8.3804330806547043</v>
      </c>
      <c r="Z278" s="77">
        <v>76</v>
      </c>
      <c r="AA278" s="77">
        <v>636.9129141297575</v>
      </c>
      <c r="AB278" s="74"/>
      <c r="AC278" s="46">
        <f>[1]Calc!$B$32/[1]Calc!$B$47</f>
        <v>0.48832380908681178</v>
      </c>
      <c r="AD278" s="75"/>
      <c r="AE278" s="76"/>
      <c r="AF278" s="77"/>
      <c r="AG278" s="77">
        <f>AC278*0</f>
        <v>0</v>
      </c>
      <c r="AH278" s="32" t="e">
        <f>[1]Calc!$C$32/[1]Calc!$C$47</f>
        <v>#DIV/0!</v>
      </c>
      <c r="AI278" s="75"/>
      <c r="AJ278" s="76"/>
      <c r="AK278" s="77"/>
      <c r="AL278" s="77"/>
      <c r="AM278" s="32" t="e">
        <f>[1]Calc!$D$32/[1]Calc!$D$47</f>
        <v>#DIV/0!</v>
      </c>
      <c r="AN278" s="75"/>
      <c r="AO278" s="76"/>
      <c r="AP278" s="77"/>
      <c r="AQ278" s="77"/>
      <c r="AR278" s="32" t="e">
        <f>[1]Calc!$E$32/[1]Calc!$E$47</f>
        <v>#DIV/0!</v>
      </c>
      <c r="AS278" s="75"/>
      <c r="AT278" s="76"/>
      <c r="AU278" s="77"/>
      <c r="AV278" s="77">
        <f>AT278*AU278</f>
        <v>0</v>
      </c>
      <c r="AW278" s="30"/>
      <c r="AX278" s="75"/>
      <c r="AY278" s="44"/>
      <c r="AZ278" s="80"/>
      <c r="BA278" s="77">
        <f>AG278+AL278+AQ278+AV278</f>
        <v>0</v>
      </c>
      <c r="BB278" s="9"/>
    </row>
    <row r="279" spans="1:54" x14ac:dyDescent="0.35">
      <c r="A279" s="54"/>
      <c r="B279" s="73" t="s">
        <v>166</v>
      </c>
      <c r="C279" s="74"/>
      <c r="D279" s="75"/>
      <c r="E279" s="76"/>
      <c r="F279" s="77"/>
      <c r="G279" s="77"/>
      <c r="H279" s="74"/>
      <c r="I279" s="75"/>
      <c r="J279" s="76"/>
      <c r="K279" s="77"/>
      <c r="L279" s="77"/>
      <c r="M279" s="30"/>
      <c r="N279" s="75"/>
      <c r="O279" s="76"/>
      <c r="P279" s="77"/>
      <c r="Q279" s="77"/>
      <c r="R279" s="30"/>
      <c r="S279" s="75"/>
      <c r="T279" s="76"/>
      <c r="U279" s="77"/>
      <c r="V279" s="77"/>
      <c r="W279" s="30"/>
      <c r="X279" s="75"/>
      <c r="Y279" s="76"/>
      <c r="Z279" s="77"/>
      <c r="AA279" s="77"/>
      <c r="AB279" s="74"/>
      <c r="AC279" s="46"/>
      <c r="AD279" s="75"/>
      <c r="AE279" s="76"/>
      <c r="AF279" s="77"/>
      <c r="AG279" s="77"/>
      <c r="AH279" s="32" t="e">
        <f>[1]Calc!$C$32/[1]Calc!$C$47</f>
        <v>#DIV/0!</v>
      </c>
      <c r="AI279" s="75"/>
      <c r="AJ279" s="76"/>
      <c r="AK279" s="77"/>
      <c r="AL279" s="77"/>
      <c r="AM279" s="32" t="e">
        <f>[1]Calc!$D$32/[1]Calc!$D$47</f>
        <v>#DIV/0!</v>
      </c>
      <c r="AN279" s="75"/>
      <c r="AO279" s="76"/>
      <c r="AP279" s="77"/>
      <c r="AQ279" s="77"/>
      <c r="AR279" s="32" t="e">
        <f>[1]Calc!$E$32/[1]Calc!$E$47</f>
        <v>#DIV/0!</v>
      </c>
      <c r="AS279" s="75"/>
      <c r="AT279" s="76"/>
      <c r="AU279" s="77"/>
      <c r="AV279" s="77"/>
      <c r="AW279" s="30"/>
      <c r="AX279" s="75"/>
      <c r="AY279" s="76"/>
      <c r="AZ279" s="77"/>
      <c r="BA279" s="77"/>
      <c r="BB279" s="9"/>
    </row>
    <row r="280" spans="1:54" x14ac:dyDescent="0.35">
      <c r="A280" s="54"/>
      <c r="B280" s="79" t="s">
        <v>174</v>
      </c>
      <c r="C280" s="74" t="s">
        <v>27</v>
      </c>
      <c r="D280" s="75" t="s">
        <v>56</v>
      </c>
      <c r="E280" s="44">
        <v>24.807148148543874</v>
      </c>
      <c r="F280" s="80">
        <v>40.000000000000007</v>
      </c>
      <c r="G280" s="77">
        <v>992.28592594175507</v>
      </c>
      <c r="H280" s="74"/>
      <c r="I280" s="75" t="s">
        <v>56</v>
      </c>
      <c r="J280" s="76">
        <v>4.8703484586972898</v>
      </c>
      <c r="K280" s="77">
        <v>40</v>
      </c>
      <c r="L280" s="77">
        <v>194.81393834789159</v>
      </c>
      <c r="M280" s="30"/>
      <c r="N280" s="75" t="s">
        <v>56</v>
      </c>
      <c r="O280" s="76">
        <v>7.256687100205494</v>
      </c>
      <c r="P280" s="77">
        <v>40</v>
      </c>
      <c r="Q280" s="77">
        <v>290.26748400821975</v>
      </c>
      <c r="R280" s="30"/>
      <c r="S280" s="75" t="s">
        <v>56</v>
      </c>
      <c r="T280" s="76">
        <v>5.696418355762173</v>
      </c>
      <c r="U280" s="77">
        <v>40</v>
      </c>
      <c r="V280" s="77">
        <v>227.85673423048692</v>
      </c>
      <c r="W280" s="30"/>
      <c r="X280" s="75" t="s">
        <v>56</v>
      </c>
      <c r="Y280" s="76">
        <v>6.9836942338789196</v>
      </c>
      <c r="Z280" s="77">
        <v>40</v>
      </c>
      <c r="AA280" s="77">
        <v>279.3477693551568</v>
      </c>
      <c r="AB280" s="74"/>
      <c r="AC280" s="46">
        <f>[1]Calc!$B$32/[1]Calc!$B$47</f>
        <v>0.48832380908681178</v>
      </c>
      <c r="AD280" s="75"/>
      <c r="AE280" s="76"/>
      <c r="AF280" s="77"/>
      <c r="AG280" s="77">
        <f>AC280*0</f>
        <v>0</v>
      </c>
      <c r="AH280" s="32" t="e">
        <f>[1]Calc!$C$32/[1]Calc!$C$47</f>
        <v>#DIV/0!</v>
      </c>
      <c r="AI280" s="75"/>
      <c r="AJ280" s="76"/>
      <c r="AK280" s="77"/>
      <c r="AL280" s="77"/>
      <c r="AM280" s="32" t="e">
        <f>[1]Calc!$D$32/[1]Calc!$D$47</f>
        <v>#DIV/0!</v>
      </c>
      <c r="AN280" s="75"/>
      <c r="AO280" s="76"/>
      <c r="AP280" s="77"/>
      <c r="AQ280" s="77"/>
      <c r="AR280" s="32" t="e">
        <f>[1]Calc!$E$32/[1]Calc!$E$47</f>
        <v>#DIV/0!</v>
      </c>
      <c r="AS280" s="75"/>
      <c r="AT280" s="76"/>
      <c r="AU280" s="77"/>
      <c r="AV280" s="77">
        <f>AT280*AU280</f>
        <v>0</v>
      </c>
      <c r="AW280" s="30"/>
      <c r="AX280" s="75"/>
      <c r="AY280" s="44"/>
      <c r="AZ280" s="80"/>
      <c r="BA280" s="77">
        <f>AG280+AL280+AQ280+AV280</f>
        <v>0</v>
      </c>
      <c r="BB280" s="9"/>
    </row>
    <row r="281" spans="1:54" x14ac:dyDescent="0.35">
      <c r="A281" s="54"/>
      <c r="B281" s="79" t="s">
        <v>175</v>
      </c>
      <c r="C281" s="74" t="s">
        <v>27</v>
      </c>
      <c r="D281" s="75" t="s">
        <v>58</v>
      </c>
      <c r="E281" s="44">
        <v>22.326433333689486</v>
      </c>
      <c r="F281" s="80">
        <v>70</v>
      </c>
      <c r="G281" s="77">
        <v>1562.8503333582642</v>
      </c>
      <c r="H281" s="74"/>
      <c r="I281" s="75" t="s">
        <v>58</v>
      </c>
      <c r="J281" s="76">
        <v>4.3833136128275614</v>
      </c>
      <c r="K281" s="77">
        <v>70</v>
      </c>
      <c r="L281" s="77">
        <v>306.83195289792928</v>
      </c>
      <c r="M281" s="30"/>
      <c r="N281" s="75" t="s">
        <v>58</v>
      </c>
      <c r="O281" s="76">
        <v>6.5310183901849443</v>
      </c>
      <c r="P281" s="77">
        <v>70</v>
      </c>
      <c r="Q281" s="77">
        <v>457.17128731294611</v>
      </c>
      <c r="R281" s="30"/>
      <c r="S281" s="75" t="s">
        <v>58</v>
      </c>
      <c r="T281" s="76">
        <v>5.1267765201859552</v>
      </c>
      <c r="U281" s="77">
        <v>70</v>
      </c>
      <c r="V281" s="77">
        <v>358.87435641301687</v>
      </c>
      <c r="W281" s="30"/>
      <c r="X281" s="75" t="s">
        <v>58</v>
      </c>
      <c r="Y281" s="76">
        <v>6.2853248104910282</v>
      </c>
      <c r="Z281" s="77">
        <v>70</v>
      </c>
      <c r="AA281" s="77">
        <v>439.97273673437195</v>
      </c>
      <c r="AB281" s="74"/>
      <c r="AC281" s="46">
        <f>[1]Calc!$B$32/[1]Calc!$B$47</f>
        <v>0.48832380908681178</v>
      </c>
      <c r="AD281" s="75"/>
      <c r="AE281" s="76"/>
      <c r="AF281" s="77"/>
      <c r="AG281" s="77">
        <f>AC281*0</f>
        <v>0</v>
      </c>
      <c r="AH281" s="32" t="e">
        <f>[1]Calc!$C$32/[1]Calc!$C$47</f>
        <v>#DIV/0!</v>
      </c>
      <c r="AI281" s="75"/>
      <c r="AJ281" s="76"/>
      <c r="AK281" s="77"/>
      <c r="AL281" s="77"/>
      <c r="AM281" s="32" t="e">
        <f>[1]Calc!$D$32/[1]Calc!$D$47</f>
        <v>#DIV/0!</v>
      </c>
      <c r="AN281" s="75"/>
      <c r="AO281" s="76"/>
      <c r="AP281" s="77"/>
      <c r="AQ281" s="77"/>
      <c r="AR281" s="32" t="e">
        <f>[1]Calc!$E$32/[1]Calc!$E$47</f>
        <v>#DIV/0!</v>
      </c>
      <c r="AS281" s="75"/>
      <c r="AT281" s="76"/>
      <c r="AU281" s="77"/>
      <c r="AV281" s="77">
        <f>AT281*AU281</f>
        <v>0</v>
      </c>
      <c r="AW281" s="30"/>
      <c r="AX281" s="75"/>
      <c r="AY281" s="44"/>
      <c r="AZ281" s="80"/>
      <c r="BA281" s="77">
        <f>AG281+AL281+AQ281+AV281</f>
        <v>0</v>
      </c>
      <c r="BB281" s="9"/>
    </row>
    <row r="282" spans="1:54" x14ac:dyDescent="0.35">
      <c r="A282" s="54"/>
      <c r="B282" s="92"/>
      <c r="C282" s="74"/>
      <c r="D282" s="75"/>
      <c r="E282" s="76"/>
      <c r="F282" s="77"/>
      <c r="G282" s="77"/>
      <c r="H282" s="74"/>
      <c r="I282" s="75"/>
      <c r="J282" s="76"/>
      <c r="K282" s="77"/>
      <c r="L282" s="77"/>
      <c r="M282" s="30"/>
      <c r="N282" s="75"/>
      <c r="O282" s="76"/>
      <c r="P282" s="77"/>
      <c r="Q282" s="77"/>
      <c r="R282" s="30"/>
      <c r="S282" s="75"/>
      <c r="T282" s="76"/>
      <c r="U282" s="77"/>
      <c r="V282" s="77"/>
      <c r="W282" s="30"/>
      <c r="X282" s="75"/>
      <c r="Y282" s="76"/>
      <c r="Z282" s="77"/>
      <c r="AA282" s="77"/>
      <c r="AB282" s="74"/>
      <c r="AC282" s="46"/>
      <c r="AD282" s="75"/>
      <c r="AE282" s="76"/>
      <c r="AF282" s="77"/>
      <c r="AG282" s="77"/>
      <c r="AH282" s="32" t="e">
        <f>[1]Calc!$C$32/[1]Calc!$C$47</f>
        <v>#DIV/0!</v>
      </c>
      <c r="AI282" s="75"/>
      <c r="AJ282" s="76"/>
      <c r="AK282" s="77"/>
      <c r="AL282" s="77"/>
      <c r="AM282" s="32" t="e">
        <f>[1]Calc!$D$32/[1]Calc!$D$47</f>
        <v>#DIV/0!</v>
      </c>
      <c r="AN282" s="75"/>
      <c r="AO282" s="76"/>
      <c r="AP282" s="77"/>
      <c r="AQ282" s="77"/>
      <c r="AR282" s="32" t="e">
        <f>[1]Calc!$E$32/[1]Calc!$E$47</f>
        <v>#DIV/0!</v>
      </c>
      <c r="AS282" s="75"/>
      <c r="AT282" s="76"/>
      <c r="AU282" s="77"/>
      <c r="AV282" s="77"/>
      <c r="AW282" s="30"/>
      <c r="AX282" s="75"/>
      <c r="AY282" s="76"/>
      <c r="AZ282" s="77"/>
      <c r="BA282" s="77"/>
      <c r="BB282" s="9"/>
    </row>
    <row r="283" spans="1:54" x14ac:dyDescent="0.35">
      <c r="A283" s="54"/>
      <c r="B283" s="71" t="s">
        <v>176</v>
      </c>
      <c r="C283" s="74"/>
      <c r="D283" s="75"/>
      <c r="E283" s="76"/>
      <c r="F283" s="77"/>
      <c r="G283" s="77"/>
      <c r="H283" s="74"/>
      <c r="I283" s="75" t="s">
        <v>56</v>
      </c>
      <c r="J283" s="76"/>
      <c r="K283" s="77"/>
      <c r="L283" s="77"/>
      <c r="M283" s="30"/>
      <c r="N283" s="75"/>
      <c r="O283" s="76"/>
      <c r="P283" s="77"/>
      <c r="Q283" s="77"/>
      <c r="R283" s="30"/>
      <c r="S283" s="75"/>
      <c r="T283" s="76"/>
      <c r="U283" s="77"/>
      <c r="V283" s="77"/>
      <c r="W283" s="30"/>
      <c r="X283" s="75"/>
      <c r="Y283" s="76"/>
      <c r="Z283" s="77"/>
      <c r="AA283" s="77"/>
      <c r="AB283" s="74"/>
      <c r="AC283" s="46"/>
      <c r="AD283" s="75"/>
      <c r="AE283" s="76"/>
      <c r="AF283" s="77"/>
      <c r="AG283" s="77"/>
      <c r="AH283" s="32" t="e">
        <f>[1]Calc!$C$32/[1]Calc!$C$47</f>
        <v>#DIV/0!</v>
      </c>
      <c r="AI283" s="75"/>
      <c r="AJ283" s="76"/>
      <c r="AK283" s="77"/>
      <c r="AL283" s="77"/>
      <c r="AM283" s="32" t="e">
        <f>[1]Calc!$D$32/[1]Calc!$D$47</f>
        <v>#DIV/0!</v>
      </c>
      <c r="AN283" s="75"/>
      <c r="AO283" s="76"/>
      <c r="AP283" s="77"/>
      <c r="AQ283" s="77"/>
      <c r="AR283" s="32" t="e">
        <f>[1]Calc!$E$32/[1]Calc!$E$47</f>
        <v>#DIV/0!</v>
      </c>
      <c r="AS283" s="75"/>
      <c r="AT283" s="76"/>
      <c r="AU283" s="77"/>
      <c r="AV283" s="77"/>
      <c r="AW283" s="30"/>
      <c r="AX283" s="75"/>
      <c r="AY283" s="76"/>
      <c r="AZ283" s="77"/>
      <c r="BA283" s="77"/>
      <c r="BB283" s="9"/>
    </row>
    <row r="284" spans="1:54" x14ac:dyDescent="0.35">
      <c r="A284" s="54"/>
      <c r="B284" s="73" t="s">
        <v>177</v>
      </c>
      <c r="C284" s="74"/>
      <c r="D284" s="75"/>
      <c r="E284" s="76"/>
      <c r="F284" s="77"/>
      <c r="G284" s="77"/>
      <c r="H284" s="74"/>
      <c r="I284" s="75"/>
      <c r="J284" s="76"/>
      <c r="K284" s="77"/>
      <c r="L284" s="77"/>
      <c r="M284" s="30"/>
      <c r="N284" s="75"/>
      <c r="O284" s="76"/>
      <c r="P284" s="77"/>
      <c r="Q284" s="77"/>
      <c r="R284" s="30"/>
      <c r="S284" s="75"/>
      <c r="T284" s="76"/>
      <c r="U284" s="77"/>
      <c r="V284" s="77"/>
      <c r="W284" s="30"/>
      <c r="X284" s="75"/>
      <c r="Y284" s="76"/>
      <c r="Z284" s="77"/>
      <c r="AA284" s="77"/>
      <c r="AB284" s="74"/>
      <c r="AC284" s="46"/>
      <c r="AD284" s="75"/>
      <c r="AE284" s="76"/>
      <c r="AF284" s="77"/>
      <c r="AG284" s="77"/>
      <c r="AH284" s="32" t="e">
        <f>[1]Calc!$C$32/[1]Calc!$C$47</f>
        <v>#DIV/0!</v>
      </c>
      <c r="AI284" s="75"/>
      <c r="AJ284" s="76"/>
      <c r="AK284" s="77"/>
      <c r="AL284" s="77"/>
      <c r="AM284" s="32" t="e">
        <f>[1]Calc!$D$32/[1]Calc!$D$47</f>
        <v>#DIV/0!</v>
      </c>
      <c r="AN284" s="75"/>
      <c r="AO284" s="76"/>
      <c r="AP284" s="77"/>
      <c r="AQ284" s="77"/>
      <c r="AR284" s="32" t="e">
        <f>[1]Calc!$E$32/[1]Calc!$E$47</f>
        <v>#DIV/0!</v>
      </c>
      <c r="AS284" s="75"/>
      <c r="AT284" s="76"/>
      <c r="AU284" s="77"/>
      <c r="AV284" s="77"/>
      <c r="AW284" s="30"/>
      <c r="AX284" s="75"/>
      <c r="AY284" s="76"/>
      <c r="AZ284" s="77"/>
      <c r="BA284" s="77"/>
      <c r="BB284" s="9"/>
    </row>
    <row r="285" spans="1:54" x14ac:dyDescent="0.35">
      <c r="A285" s="54"/>
      <c r="B285" s="79" t="s">
        <v>178</v>
      </c>
      <c r="C285" s="74" t="s">
        <v>27</v>
      </c>
      <c r="D285" s="75" t="s">
        <v>56</v>
      </c>
      <c r="E285" s="44">
        <v>148.84288889126327</v>
      </c>
      <c r="F285" s="80">
        <v>18.999999999999996</v>
      </c>
      <c r="G285" s="77">
        <v>2828.0148889340016</v>
      </c>
      <c r="H285" s="74"/>
      <c r="I285" s="75" t="s">
        <v>56</v>
      </c>
      <c r="J285" s="76">
        <v>29.222090752183739</v>
      </c>
      <c r="K285" s="77">
        <v>19</v>
      </c>
      <c r="L285" s="77">
        <v>555.21972429149105</v>
      </c>
      <c r="M285" s="30"/>
      <c r="N285" s="75" t="s">
        <v>56</v>
      </c>
      <c r="O285" s="76">
        <v>43.540122601232966</v>
      </c>
      <c r="P285" s="77">
        <v>19</v>
      </c>
      <c r="Q285" s="77">
        <v>827.26232942342631</v>
      </c>
      <c r="R285" s="30"/>
      <c r="S285" s="75" t="s">
        <v>56</v>
      </c>
      <c r="T285" s="76">
        <v>34.178510134573031</v>
      </c>
      <c r="U285" s="77">
        <v>19</v>
      </c>
      <c r="V285" s="77">
        <v>649.39169255688762</v>
      </c>
      <c r="W285" s="30"/>
      <c r="X285" s="75" t="s">
        <v>56</v>
      </c>
      <c r="Y285" s="76">
        <v>41.902165403273521</v>
      </c>
      <c r="Z285" s="77">
        <v>19</v>
      </c>
      <c r="AA285" s="77">
        <v>796.1411426621969</v>
      </c>
      <c r="AB285" s="74"/>
      <c r="AC285" s="46">
        <f>[1]Calc!$B$32/[1]Calc!$B$47</f>
        <v>0.48832380908681178</v>
      </c>
      <c r="AD285" s="75"/>
      <c r="AE285" s="76"/>
      <c r="AF285" s="77"/>
      <c r="AG285" s="77">
        <f>AC285*3582.859</f>
        <v>1749.5953543009653</v>
      </c>
      <c r="AH285" s="32" t="e">
        <f>[1]Calc!$C$32/[1]Calc!$C$47</f>
        <v>#DIV/0!</v>
      </c>
      <c r="AI285" s="75"/>
      <c r="AJ285" s="76"/>
      <c r="AK285" s="77"/>
      <c r="AL285" s="77"/>
      <c r="AM285" s="32" t="e">
        <f>[1]Calc!$D$32/[1]Calc!$D$47</f>
        <v>#DIV/0!</v>
      </c>
      <c r="AN285" s="75"/>
      <c r="AO285" s="76"/>
      <c r="AP285" s="77"/>
      <c r="AQ285" s="77"/>
      <c r="AR285" s="32" t="e">
        <f>[1]Calc!$E$32/[1]Calc!$E$47</f>
        <v>#DIV/0!</v>
      </c>
      <c r="AS285" s="75"/>
      <c r="AT285" s="76"/>
      <c r="AU285" s="77"/>
      <c r="AV285" s="77">
        <f>AT285*AU285</f>
        <v>0</v>
      </c>
      <c r="AW285" s="30"/>
      <c r="AX285" s="75"/>
      <c r="AY285" s="44"/>
      <c r="AZ285" s="80"/>
      <c r="BA285" s="77">
        <f>AG285+AL285+AQ285+AV285</f>
        <v>1749.5953543009653</v>
      </c>
      <c r="BB285" s="9"/>
    </row>
    <row r="286" spans="1:54" x14ac:dyDescent="0.35">
      <c r="A286" s="54"/>
      <c r="B286" s="79" t="s">
        <v>179</v>
      </c>
      <c r="C286" s="74" t="s">
        <v>27</v>
      </c>
      <c r="D286" s="75" t="s">
        <v>58</v>
      </c>
      <c r="E286" s="44">
        <v>99.228592594175495</v>
      </c>
      <c r="F286" s="80">
        <v>30</v>
      </c>
      <c r="G286" s="77">
        <v>2976.8577778252647</v>
      </c>
      <c r="H286" s="74"/>
      <c r="I286" s="75" t="s">
        <v>58</v>
      </c>
      <c r="J286" s="76">
        <v>19.481393834789159</v>
      </c>
      <c r="K286" s="77">
        <v>30</v>
      </c>
      <c r="L286" s="77">
        <v>584.44181504367475</v>
      </c>
      <c r="M286" s="30"/>
      <c r="N286" s="75" t="s">
        <v>58</v>
      </c>
      <c r="O286" s="76">
        <v>29.026748400821976</v>
      </c>
      <c r="P286" s="77">
        <v>30</v>
      </c>
      <c r="Q286" s="77">
        <v>870.80245202465926</v>
      </c>
      <c r="R286" s="30"/>
      <c r="S286" s="75" t="s">
        <v>58</v>
      </c>
      <c r="T286" s="76">
        <v>22.785673423048692</v>
      </c>
      <c r="U286" s="77">
        <v>30</v>
      </c>
      <c r="V286" s="77">
        <v>683.57020269146074</v>
      </c>
      <c r="W286" s="30"/>
      <c r="X286" s="75" t="s">
        <v>58</v>
      </c>
      <c r="Y286" s="76">
        <v>27.934776935515679</v>
      </c>
      <c r="Z286" s="77">
        <v>30</v>
      </c>
      <c r="AA286" s="77">
        <v>838.04330806547034</v>
      </c>
      <c r="AB286" s="74"/>
      <c r="AC286" s="46">
        <f>[1]Calc!$B$32/[1]Calc!$B$47</f>
        <v>0.48832380908681178</v>
      </c>
      <c r="AD286" s="75"/>
      <c r="AE286" s="76"/>
      <c r="AF286" s="77"/>
      <c r="AG286" s="77">
        <f>AC286*1932.786</f>
        <v>943.82542166966266</v>
      </c>
      <c r="AH286" s="32" t="e">
        <f>[1]Calc!$C$32/[1]Calc!$C$47</f>
        <v>#DIV/0!</v>
      </c>
      <c r="AI286" s="75"/>
      <c r="AJ286" s="76"/>
      <c r="AK286" s="77"/>
      <c r="AL286" s="77"/>
      <c r="AM286" s="32" t="e">
        <f>[1]Calc!$D$32/[1]Calc!$D$47</f>
        <v>#DIV/0!</v>
      </c>
      <c r="AN286" s="75"/>
      <c r="AO286" s="76"/>
      <c r="AP286" s="77"/>
      <c r="AQ286" s="77"/>
      <c r="AR286" s="32" t="e">
        <f>[1]Calc!$E$32/[1]Calc!$E$47</f>
        <v>#DIV/0!</v>
      </c>
      <c r="AS286" s="75"/>
      <c r="AT286" s="76"/>
      <c r="AU286" s="77"/>
      <c r="AV286" s="77">
        <f>AT286*AU286</f>
        <v>0</v>
      </c>
      <c r="AW286" s="30"/>
      <c r="AX286" s="75"/>
      <c r="AY286" s="44"/>
      <c r="AZ286" s="80"/>
      <c r="BA286" s="77">
        <f>AG286+AL286+AQ286+AV286</f>
        <v>943.82542166966266</v>
      </c>
      <c r="BB286" s="9"/>
    </row>
    <row r="287" spans="1:54" x14ac:dyDescent="0.35">
      <c r="A287" s="54"/>
      <c r="B287" s="73" t="s">
        <v>180</v>
      </c>
      <c r="C287" s="74"/>
      <c r="D287" s="75"/>
      <c r="E287" s="76"/>
      <c r="F287" s="77"/>
      <c r="G287" s="77"/>
      <c r="H287" s="74"/>
      <c r="I287" s="75"/>
      <c r="J287" s="76"/>
      <c r="K287" s="77"/>
      <c r="L287" s="77"/>
      <c r="M287" s="30"/>
      <c r="N287" s="75"/>
      <c r="O287" s="76"/>
      <c r="P287" s="77"/>
      <c r="Q287" s="77"/>
      <c r="R287" s="30"/>
      <c r="S287" s="75"/>
      <c r="T287" s="76"/>
      <c r="U287" s="77"/>
      <c r="V287" s="77"/>
      <c r="W287" s="30"/>
      <c r="X287" s="75"/>
      <c r="Y287" s="76"/>
      <c r="Z287" s="77"/>
      <c r="AA287" s="77"/>
      <c r="AB287" s="74"/>
      <c r="AC287" s="46"/>
      <c r="AD287" s="75"/>
      <c r="AE287" s="76"/>
      <c r="AF287" s="77"/>
      <c r="AG287" s="77"/>
      <c r="AH287" s="32" t="e">
        <f>[1]Calc!$C$32/[1]Calc!$C$47</f>
        <v>#DIV/0!</v>
      </c>
      <c r="AI287" s="75"/>
      <c r="AJ287" s="76"/>
      <c r="AK287" s="77"/>
      <c r="AL287" s="77"/>
      <c r="AM287" s="32" t="e">
        <f>[1]Calc!$D$32/[1]Calc!$D$47</f>
        <v>#DIV/0!</v>
      </c>
      <c r="AN287" s="75"/>
      <c r="AO287" s="76"/>
      <c r="AP287" s="77"/>
      <c r="AQ287" s="77"/>
      <c r="AR287" s="32" t="e">
        <f>[1]Calc!$E$32/[1]Calc!$E$47</f>
        <v>#DIV/0!</v>
      </c>
      <c r="AS287" s="75"/>
      <c r="AT287" s="76"/>
      <c r="AU287" s="77"/>
      <c r="AV287" s="77"/>
      <c r="AW287" s="30"/>
      <c r="AX287" s="75"/>
      <c r="AY287" s="76"/>
      <c r="AZ287" s="77"/>
      <c r="BA287" s="77"/>
      <c r="BB287" s="9"/>
    </row>
    <row r="288" spans="1:54" x14ac:dyDescent="0.35">
      <c r="A288" s="54"/>
      <c r="B288" s="92" t="s">
        <v>181</v>
      </c>
      <c r="C288" s="74" t="s">
        <v>27</v>
      </c>
      <c r="D288" s="75" t="s">
        <v>56</v>
      </c>
      <c r="E288" s="44">
        <v>327.45435556077916</v>
      </c>
      <c r="F288" s="80">
        <v>19.000000000000004</v>
      </c>
      <c r="G288" s="77">
        <v>6221.6327556548049</v>
      </c>
      <c r="H288" s="74"/>
      <c r="I288" s="75" t="s">
        <v>56</v>
      </c>
      <c r="J288" s="76">
        <v>64.28859965480423</v>
      </c>
      <c r="K288" s="77">
        <v>19</v>
      </c>
      <c r="L288" s="77">
        <v>1221.4833934412804</v>
      </c>
      <c r="M288" s="30"/>
      <c r="N288" s="75" t="s">
        <v>56</v>
      </c>
      <c r="O288" s="76">
        <v>95.788269722712528</v>
      </c>
      <c r="P288" s="77">
        <v>19</v>
      </c>
      <c r="Q288" s="77">
        <v>1819.977124731538</v>
      </c>
      <c r="R288" s="30"/>
      <c r="S288" s="75" t="s">
        <v>56</v>
      </c>
      <c r="T288" s="76">
        <v>75.19272229606068</v>
      </c>
      <c r="U288" s="77">
        <v>19</v>
      </c>
      <c r="V288" s="77">
        <v>1428.6617236251529</v>
      </c>
      <c r="W288" s="30"/>
      <c r="X288" s="75" t="s">
        <v>56</v>
      </c>
      <c r="Y288" s="76">
        <v>92.18476388720174</v>
      </c>
      <c r="Z288" s="77">
        <v>19</v>
      </c>
      <c r="AA288" s="77">
        <v>1751.5105138568331</v>
      </c>
      <c r="AB288" s="74"/>
      <c r="AC288" s="46">
        <f>[1]Calc!$B$32/[1]Calc!$B$47</f>
        <v>0.48832380908681178</v>
      </c>
      <c r="AD288" s="75"/>
      <c r="AE288" s="76"/>
      <c r="AF288" s="77"/>
      <c r="AG288" s="77">
        <f>AC288*1150.982</f>
        <v>562.05191443035676</v>
      </c>
      <c r="AH288" s="32" t="e">
        <f>[1]Calc!$C$32/[1]Calc!$C$47</f>
        <v>#DIV/0!</v>
      </c>
      <c r="AI288" s="75"/>
      <c r="AJ288" s="76"/>
      <c r="AK288" s="77"/>
      <c r="AL288" s="77"/>
      <c r="AM288" s="32" t="e">
        <f>[1]Calc!$D$32/[1]Calc!$D$47</f>
        <v>#DIV/0!</v>
      </c>
      <c r="AN288" s="75"/>
      <c r="AO288" s="76"/>
      <c r="AP288" s="77"/>
      <c r="AQ288" s="77"/>
      <c r="AR288" s="32" t="e">
        <f>[1]Calc!$E$32/[1]Calc!$E$47</f>
        <v>#DIV/0!</v>
      </c>
      <c r="AS288" s="75"/>
      <c r="AT288" s="76"/>
      <c r="AU288" s="77"/>
      <c r="AV288" s="77">
        <f>AT288*AU288</f>
        <v>0</v>
      </c>
      <c r="AW288" s="30"/>
      <c r="AX288" s="75"/>
      <c r="AY288" s="44"/>
      <c r="AZ288" s="80"/>
      <c r="BA288" s="77">
        <f>AG288+AL288+AQ288+AV288</f>
        <v>562.05191443035676</v>
      </c>
      <c r="BB288" s="9"/>
    </row>
    <row r="289" spans="1:54" x14ac:dyDescent="0.35">
      <c r="A289" s="54"/>
      <c r="B289" s="92" t="s">
        <v>182</v>
      </c>
      <c r="C289" s="74" t="s">
        <v>27</v>
      </c>
      <c r="D289" s="75" t="s">
        <v>58</v>
      </c>
      <c r="E289" s="44">
        <v>218.30290370718612</v>
      </c>
      <c r="F289" s="80">
        <v>30</v>
      </c>
      <c r="G289" s="77">
        <v>6549.0871112155837</v>
      </c>
      <c r="H289" s="74"/>
      <c r="I289" s="75" t="s">
        <v>58</v>
      </c>
      <c r="J289" s="76">
        <v>42.859066436536153</v>
      </c>
      <c r="K289" s="77">
        <v>30</v>
      </c>
      <c r="L289" s="77">
        <v>1285.7719930960845</v>
      </c>
      <c r="M289" s="30"/>
      <c r="N289" s="75" t="s">
        <v>58</v>
      </c>
      <c r="O289" s="76">
        <v>63.858846481808349</v>
      </c>
      <c r="P289" s="77">
        <v>30</v>
      </c>
      <c r="Q289" s="77">
        <v>1915.7653944542506</v>
      </c>
      <c r="R289" s="30"/>
      <c r="S289" s="75" t="s">
        <v>58</v>
      </c>
      <c r="T289" s="76">
        <v>50.128481530707113</v>
      </c>
      <c r="U289" s="77">
        <v>30</v>
      </c>
      <c r="V289" s="77">
        <v>1503.8544459212135</v>
      </c>
      <c r="W289" s="30"/>
      <c r="X289" s="75" t="s">
        <v>58</v>
      </c>
      <c r="Y289" s="76">
        <v>61.456509258134496</v>
      </c>
      <c r="Z289" s="77">
        <v>30</v>
      </c>
      <c r="AA289" s="77">
        <v>1843.6952777440349</v>
      </c>
      <c r="AB289" s="74"/>
      <c r="AC289" s="46">
        <f>[1]Calc!$B$32/[1]Calc!$B$47</f>
        <v>0.48832380908681178</v>
      </c>
      <c r="AD289" s="75"/>
      <c r="AE289" s="76"/>
      <c r="AF289" s="77"/>
      <c r="AG289" s="77">
        <f>AC289*1607.584</f>
        <v>785.02154230701331</v>
      </c>
      <c r="AH289" s="32" t="e">
        <f>[1]Calc!$C$32/[1]Calc!$C$47</f>
        <v>#DIV/0!</v>
      </c>
      <c r="AI289" s="75"/>
      <c r="AJ289" s="76"/>
      <c r="AK289" s="77"/>
      <c r="AL289" s="77"/>
      <c r="AM289" s="32" t="e">
        <f>[1]Calc!$D$32/[1]Calc!$D$47</f>
        <v>#DIV/0!</v>
      </c>
      <c r="AN289" s="75"/>
      <c r="AO289" s="76"/>
      <c r="AP289" s="77"/>
      <c r="AQ289" s="77"/>
      <c r="AR289" s="32" t="e">
        <f>[1]Calc!$E$32/[1]Calc!$E$47</f>
        <v>#DIV/0!</v>
      </c>
      <c r="AS289" s="75"/>
      <c r="AT289" s="76"/>
      <c r="AU289" s="77"/>
      <c r="AV289" s="77">
        <f>AT289*AU289</f>
        <v>0</v>
      </c>
      <c r="AW289" s="30"/>
      <c r="AX289" s="75"/>
      <c r="AY289" s="44"/>
      <c r="AZ289" s="80"/>
      <c r="BA289" s="77">
        <f>AG289+AL289+AQ289+AV289</f>
        <v>785.02154230701331</v>
      </c>
      <c r="BB289" s="9"/>
    </row>
    <row r="290" spans="1:54" x14ac:dyDescent="0.35">
      <c r="A290" s="54"/>
      <c r="B290" s="55"/>
      <c r="C290" s="42"/>
      <c r="D290" s="43"/>
      <c r="E290" s="44"/>
      <c r="F290" s="89"/>
      <c r="G290" s="77"/>
      <c r="H290" s="42"/>
      <c r="I290" s="43"/>
      <c r="J290" s="44"/>
      <c r="K290" s="89"/>
      <c r="L290" s="77"/>
      <c r="M290" s="30"/>
      <c r="N290" s="43"/>
      <c r="O290" s="44"/>
      <c r="P290" s="89"/>
      <c r="Q290" s="77"/>
      <c r="R290" s="30"/>
      <c r="S290" s="43"/>
      <c r="T290" s="44"/>
      <c r="U290" s="89"/>
      <c r="V290" s="77"/>
      <c r="W290" s="30"/>
      <c r="X290" s="43"/>
      <c r="Y290" s="44"/>
      <c r="Z290" s="89"/>
      <c r="AA290" s="77"/>
      <c r="AB290" s="42"/>
      <c r="AC290" s="46"/>
      <c r="AD290" s="43"/>
      <c r="AE290" s="44"/>
      <c r="AF290" s="89"/>
      <c r="AG290" s="77"/>
      <c r="AH290" s="32" t="e">
        <f>[1]Calc!$C$32/[1]Calc!$C$47</f>
        <v>#DIV/0!</v>
      </c>
      <c r="AI290" s="43"/>
      <c r="AJ290" s="44"/>
      <c r="AK290" s="89"/>
      <c r="AL290" s="77"/>
      <c r="AM290" s="32" t="e">
        <f>[1]Calc!$D$32/[1]Calc!$D$47</f>
        <v>#DIV/0!</v>
      </c>
      <c r="AN290" s="43"/>
      <c r="AO290" s="44"/>
      <c r="AP290" s="89"/>
      <c r="AQ290" s="77"/>
      <c r="AR290" s="32" t="e">
        <f>[1]Calc!$E$32/[1]Calc!$E$47</f>
        <v>#DIV/0!</v>
      </c>
      <c r="AS290" s="43"/>
      <c r="AT290" s="44"/>
      <c r="AU290" s="89"/>
      <c r="AV290" s="77"/>
      <c r="AW290" s="30"/>
      <c r="AX290" s="43"/>
      <c r="AY290" s="44"/>
      <c r="AZ290" s="89"/>
      <c r="BA290" s="77"/>
      <c r="BB290" s="9"/>
    </row>
    <row r="291" spans="1:54" ht="29" x14ac:dyDescent="0.35">
      <c r="A291" s="54"/>
      <c r="B291" s="180" t="s">
        <v>183</v>
      </c>
      <c r="C291" s="42"/>
      <c r="D291" s="43"/>
      <c r="E291" s="44"/>
      <c r="F291" s="89"/>
      <c r="G291" s="77"/>
      <c r="H291" s="42"/>
      <c r="I291" s="43"/>
      <c r="J291" s="44"/>
      <c r="K291" s="89"/>
      <c r="L291" s="77"/>
      <c r="M291" s="30"/>
      <c r="N291" s="43"/>
      <c r="O291" s="44"/>
      <c r="P291" s="89"/>
      <c r="Q291" s="77"/>
      <c r="R291" s="30"/>
      <c r="S291" s="43"/>
      <c r="T291" s="44"/>
      <c r="U291" s="89"/>
      <c r="V291" s="77"/>
      <c r="W291" s="30"/>
      <c r="X291" s="43"/>
      <c r="Y291" s="44"/>
      <c r="Z291" s="89"/>
      <c r="AA291" s="77"/>
      <c r="AB291" s="42"/>
      <c r="AC291" s="46"/>
      <c r="AD291" s="43"/>
      <c r="AE291" s="44"/>
      <c r="AF291" s="89"/>
      <c r="AG291" s="77"/>
      <c r="AH291" s="32" t="e">
        <f>[1]Calc!$C$32/[1]Calc!$C$47</f>
        <v>#DIV/0!</v>
      </c>
      <c r="AI291" s="43"/>
      <c r="AJ291" s="44"/>
      <c r="AK291" s="89"/>
      <c r="AL291" s="77"/>
      <c r="AM291" s="32" t="e">
        <f>[1]Calc!$D$32/[1]Calc!$D$47</f>
        <v>#DIV/0!</v>
      </c>
      <c r="AN291" s="43"/>
      <c r="AO291" s="44"/>
      <c r="AP291" s="89"/>
      <c r="AQ291" s="77"/>
      <c r="AR291" s="32" t="e">
        <f>[1]Calc!$E$32/[1]Calc!$E$47</f>
        <v>#DIV/0!</v>
      </c>
      <c r="AS291" s="43"/>
      <c r="AT291" s="44"/>
      <c r="AU291" s="89"/>
      <c r="AV291" s="77"/>
      <c r="AW291" s="30"/>
      <c r="AX291" s="43"/>
      <c r="AY291" s="44"/>
      <c r="AZ291" s="89"/>
      <c r="BA291" s="77"/>
      <c r="BB291" s="9"/>
    </row>
    <row r="292" spans="1:54" x14ac:dyDescent="0.35">
      <c r="A292" s="54"/>
      <c r="B292" s="55"/>
      <c r="C292" s="42"/>
      <c r="D292" s="43"/>
      <c r="E292" s="44"/>
      <c r="F292" s="89"/>
      <c r="G292" s="77"/>
      <c r="H292" s="42"/>
      <c r="I292" s="43"/>
      <c r="J292" s="44"/>
      <c r="K292" s="89"/>
      <c r="L292" s="77"/>
      <c r="M292" s="30"/>
      <c r="N292" s="43"/>
      <c r="O292" s="44"/>
      <c r="P292" s="89"/>
      <c r="Q292" s="77"/>
      <c r="R292" s="30"/>
      <c r="S292" s="43"/>
      <c r="T292" s="44"/>
      <c r="U292" s="89"/>
      <c r="V292" s="77"/>
      <c r="W292" s="30"/>
      <c r="X292" s="43"/>
      <c r="Y292" s="44"/>
      <c r="Z292" s="89"/>
      <c r="AA292" s="77"/>
      <c r="AB292" s="42"/>
      <c r="AC292" s="46"/>
      <c r="AD292" s="43"/>
      <c r="AE292" s="44"/>
      <c r="AF292" s="89"/>
      <c r="AG292" s="77"/>
      <c r="AH292" s="32" t="e">
        <f>[1]Calc!$C$32/[1]Calc!$C$47</f>
        <v>#DIV/0!</v>
      </c>
      <c r="AI292" s="43"/>
      <c r="AJ292" s="44"/>
      <c r="AK292" s="89"/>
      <c r="AL292" s="77"/>
      <c r="AM292" s="32" t="e">
        <f>[1]Calc!$D$32/[1]Calc!$D$47</f>
        <v>#DIV/0!</v>
      </c>
      <c r="AN292" s="43"/>
      <c r="AO292" s="44"/>
      <c r="AP292" s="89"/>
      <c r="AQ292" s="77"/>
      <c r="AR292" s="32" t="e">
        <f>[1]Calc!$E$32/[1]Calc!$E$47</f>
        <v>#DIV/0!</v>
      </c>
      <c r="AS292" s="43"/>
      <c r="AT292" s="44"/>
      <c r="AU292" s="89"/>
      <c r="AV292" s="77"/>
      <c r="AW292" s="30"/>
      <c r="AX292" s="43"/>
      <c r="AY292" s="44"/>
      <c r="AZ292" s="89"/>
      <c r="BA292" s="77"/>
      <c r="BB292" s="9"/>
    </row>
    <row r="293" spans="1:54" x14ac:dyDescent="0.35">
      <c r="A293" s="54"/>
      <c r="B293" s="181" t="s">
        <v>184</v>
      </c>
      <c r="C293" s="74" t="s">
        <v>27</v>
      </c>
      <c r="D293" s="75" t="s">
        <v>185</v>
      </c>
      <c r="E293" s="44">
        <v>1.4611045376091871</v>
      </c>
      <c r="F293" s="80">
        <v>609.79606894964149</v>
      </c>
      <c r="G293" s="77">
        <v>890.97580335856594</v>
      </c>
      <c r="H293" s="74"/>
      <c r="I293" s="75" t="s">
        <v>185</v>
      </c>
      <c r="J293" s="76">
        <v>1.4611045376091871</v>
      </c>
      <c r="K293" s="89">
        <v>609.79606894964149</v>
      </c>
      <c r="L293" s="77">
        <v>890.97580335856594</v>
      </c>
      <c r="M293" s="30"/>
      <c r="N293" s="75"/>
      <c r="O293" s="76"/>
      <c r="P293" s="89"/>
      <c r="Q293" s="77">
        <v>0</v>
      </c>
      <c r="R293" s="30"/>
      <c r="S293" s="75"/>
      <c r="T293" s="76"/>
      <c r="U293" s="89"/>
      <c r="V293" s="77">
        <v>0</v>
      </c>
      <c r="W293" s="30"/>
      <c r="X293" s="75"/>
      <c r="Y293" s="76"/>
      <c r="Z293" s="89"/>
      <c r="AA293" s="77">
        <v>0</v>
      </c>
      <c r="AB293" s="74"/>
      <c r="AC293" s="46">
        <f>[1]Calc!$B$32/[1]Calc!$B$47</f>
        <v>0.48832380908681178</v>
      </c>
      <c r="AD293" s="75"/>
      <c r="AE293" s="76"/>
      <c r="AF293" s="89"/>
      <c r="AG293" s="77">
        <f>AC293*646.081</f>
        <v>315.49673489861647</v>
      </c>
      <c r="AH293" s="32" t="e">
        <f>[1]Calc!$C$32/[1]Calc!$C$47</f>
        <v>#DIV/0!</v>
      </c>
      <c r="AI293" s="75"/>
      <c r="AJ293" s="76"/>
      <c r="AK293" s="89"/>
      <c r="AL293" s="77"/>
      <c r="AM293" s="32" t="e">
        <f>[1]Calc!$D$32/[1]Calc!$D$47</f>
        <v>#DIV/0!</v>
      </c>
      <c r="AN293" s="75"/>
      <c r="AO293" s="76"/>
      <c r="AP293" s="89"/>
      <c r="AQ293" s="77"/>
      <c r="AR293" s="32" t="e">
        <f>[1]Calc!$E$32/[1]Calc!$E$47</f>
        <v>#DIV/0!</v>
      </c>
      <c r="AS293" s="75"/>
      <c r="AT293" s="76"/>
      <c r="AU293" s="89"/>
      <c r="AV293" s="77">
        <f t="shared" ref="AV293:AV299" si="12">AT293*AU293</f>
        <v>0</v>
      </c>
      <c r="AW293" s="30"/>
      <c r="AX293" s="75"/>
      <c r="AY293" s="44"/>
      <c r="AZ293" s="80"/>
      <c r="BA293" s="77">
        <f t="shared" ref="BA293:BA299" si="13">AG293+AL293+AQ293+AV293</f>
        <v>315.49673489861647</v>
      </c>
      <c r="BB293" s="9"/>
    </row>
    <row r="294" spans="1:54" x14ac:dyDescent="0.35">
      <c r="A294" s="54"/>
      <c r="B294" s="182" t="s">
        <v>186</v>
      </c>
      <c r="C294" s="74" t="s">
        <v>27</v>
      </c>
      <c r="D294" s="75" t="s">
        <v>187</v>
      </c>
      <c r="E294" s="44">
        <v>1.4611045376091871</v>
      </c>
      <c r="F294" s="80">
        <v>609.79606894964149</v>
      </c>
      <c r="G294" s="77">
        <v>890.97580335856594</v>
      </c>
      <c r="H294" s="74"/>
      <c r="I294" s="75" t="s">
        <v>187</v>
      </c>
      <c r="J294" s="76">
        <v>1.4611045376091871</v>
      </c>
      <c r="K294" s="89">
        <v>609.79606894964149</v>
      </c>
      <c r="L294" s="77">
        <v>890.97580335856594</v>
      </c>
      <c r="M294" s="30"/>
      <c r="N294" s="75"/>
      <c r="O294" s="76"/>
      <c r="P294" s="89"/>
      <c r="Q294" s="77">
        <v>0</v>
      </c>
      <c r="R294" s="30"/>
      <c r="S294" s="75"/>
      <c r="T294" s="76"/>
      <c r="U294" s="89"/>
      <c r="V294" s="77">
        <v>0</v>
      </c>
      <c r="W294" s="30"/>
      <c r="X294" s="75"/>
      <c r="Y294" s="76"/>
      <c r="Z294" s="89"/>
      <c r="AA294" s="77">
        <v>0</v>
      </c>
      <c r="AB294" s="74"/>
      <c r="AC294" s="46">
        <f>[1]Calc!$B$32/[1]Calc!$B$47</f>
        <v>0.48832380908681178</v>
      </c>
      <c r="AD294" s="75"/>
      <c r="AE294" s="76"/>
      <c r="AF294" s="89"/>
      <c r="AG294" s="77">
        <f>AC294*3950.724</f>
        <v>1929.2325923306855</v>
      </c>
      <c r="AH294" s="32" t="e">
        <f>[1]Calc!$C$32/[1]Calc!$C$47</f>
        <v>#DIV/0!</v>
      </c>
      <c r="AI294" s="75"/>
      <c r="AJ294" s="76"/>
      <c r="AK294" s="89"/>
      <c r="AL294" s="77"/>
      <c r="AM294" s="32" t="e">
        <f>[1]Calc!$D$32/[1]Calc!$D$47</f>
        <v>#DIV/0!</v>
      </c>
      <c r="AN294" s="75"/>
      <c r="AO294" s="76"/>
      <c r="AP294" s="89"/>
      <c r="AQ294" s="77"/>
      <c r="AR294" s="32" t="e">
        <f>[1]Calc!$E$32/[1]Calc!$E$47</f>
        <v>#DIV/0!</v>
      </c>
      <c r="AS294" s="75"/>
      <c r="AT294" s="76"/>
      <c r="AU294" s="89"/>
      <c r="AV294" s="77">
        <f t="shared" si="12"/>
        <v>0</v>
      </c>
      <c r="AW294" s="30"/>
      <c r="AX294" s="75"/>
      <c r="AY294" s="44"/>
      <c r="AZ294" s="80"/>
      <c r="BA294" s="77">
        <f t="shared" si="13"/>
        <v>1929.2325923306855</v>
      </c>
      <c r="BB294" s="9"/>
    </row>
    <row r="295" spans="1:54" x14ac:dyDescent="0.35">
      <c r="A295" s="54"/>
      <c r="B295" s="181" t="s">
        <v>188</v>
      </c>
      <c r="C295" s="74" t="s">
        <v>27</v>
      </c>
      <c r="D295" s="75" t="s">
        <v>189</v>
      </c>
      <c r="E295" s="44">
        <v>0.48703484586972901</v>
      </c>
      <c r="F295" s="80">
        <v>4263.9803447482072</v>
      </c>
      <c r="G295" s="77">
        <v>2076.7070099959969</v>
      </c>
      <c r="H295" s="74"/>
      <c r="I295" s="75" t="s">
        <v>189</v>
      </c>
      <c r="J295" s="76">
        <v>0.48703484586972901</v>
      </c>
      <c r="K295" s="89">
        <v>4263.9803447482072</v>
      </c>
      <c r="L295" s="77">
        <v>2076.7070099959969</v>
      </c>
      <c r="M295" s="30"/>
      <c r="N295" s="75"/>
      <c r="O295" s="76"/>
      <c r="P295" s="89"/>
      <c r="Q295" s="77">
        <v>0</v>
      </c>
      <c r="R295" s="30"/>
      <c r="S295" s="75"/>
      <c r="T295" s="76"/>
      <c r="U295" s="89"/>
      <c r="V295" s="77">
        <v>0</v>
      </c>
      <c r="W295" s="30"/>
      <c r="X295" s="75"/>
      <c r="Y295" s="76"/>
      <c r="Z295" s="89"/>
      <c r="AA295" s="77">
        <v>0</v>
      </c>
      <c r="AB295" s="74"/>
      <c r="AC295" s="46">
        <f>[1]Calc!$B$32/[1]Calc!$B$47</f>
        <v>0.48832380908681178</v>
      </c>
      <c r="AD295" s="75"/>
      <c r="AE295" s="76"/>
      <c r="AF295" s="89"/>
      <c r="AG295" s="77">
        <f>AC295*4114.531</f>
        <v>2009.2234505257686</v>
      </c>
      <c r="AH295" s="32" t="e">
        <f>[1]Calc!$C$32/[1]Calc!$C$47</f>
        <v>#DIV/0!</v>
      </c>
      <c r="AI295" s="75"/>
      <c r="AJ295" s="76"/>
      <c r="AK295" s="89"/>
      <c r="AL295" s="77"/>
      <c r="AM295" s="32" t="e">
        <f>[1]Calc!$D$32/[1]Calc!$D$47</f>
        <v>#DIV/0!</v>
      </c>
      <c r="AN295" s="75"/>
      <c r="AO295" s="76"/>
      <c r="AP295" s="89"/>
      <c r="AQ295" s="77"/>
      <c r="AR295" s="32" t="e">
        <f>[1]Calc!$E$32/[1]Calc!$E$47</f>
        <v>#DIV/0!</v>
      </c>
      <c r="AS295" s="75"/>
      <c r="AT295" s="76"/>
      <c r="AU295" s="89"/>
      <c r="AV295" s="77">
        <f t="shared" si="12"/>
        <v>0</v>
      </c>
      <c r="AW295" s="30"/>
      <c r="AX295" s="75"/>
      <c r="AY295" s="44"/>
      <c r="AZ295" s="80"/>
      <c r="BA295" s="77">
        <f t="shared" si="13"/>
        <v>2009.2234505257686</v>
      </c>
      <c r="BB295" s="9"/>
    </row>
    <row r="296" spans="1:54" x14ac:dyDescent="0.35">
      <c r="A296" s="54"/>
      <c r="B296" s="181" t="s">
        <v>190</v>
      </c>
      <c r="C296" s="74" t="s">
        <v>27</v>
      </c>
      <c r="D296" s="75" t="s">
        <v>189</v>
      </c>
      <c r="E296" s="44">
        <v>0.48703484586972901</v>
      </c>
      <c r="F296" s="80">
        <v>6097.9606894964154</v>
      </c>
      <c r="G296" s="77">
        <v>2969.9193445285532</v>
      </c>
      <c r="H296" s="74"/>
      <c r="I296" s="75" t="s">
        <v>189</v>
      </c>
      <c r="J296" s="76">
        <v>0.48703484586972901</v>
      </c>
      <c r="K296" s="89">
        <v>6097.9606894964154</v>
      </c>
      <c r="L296" s="77">
        <v>2969.9193445285532</v>
      </c>
      <c r="M296" s="30"/>
      <c r="N296" s="75"/>
      <c r="O296" s="76"/>
      <c r="P296" s="89"/>
      <c r="Q296" s="77">
        <v>0</v>
      </c>
      <c r="R296" s="30"/>
      <c r="S296" s="75"/>
      <c r="T296" s="76"/>
      <c r="U296" s="89"/>
      <c r="V296" s="77">
        <v>0</v>
      </c>
      <c r="W296" s="30"/>
      <c r="X296" s="75"/>
      <c r="Y296" s="76"/>
      <c r="Z296" s="89"/>
      <c r="AA296" s="77">
        <v>0</v>
      </c>
      <c r="AB296" s="74"/>
      <c r="AC296" s="46">
        <f>[1]Calc!$B$32/[1]Calc!$B$47</f>
        <v>0.48832380908681178</v>
      </c>
      <c r="AD296" s="75"/>
      <c r="AE296" s="76"/>
      <c r="AF296" s="89"/>
      <c r="AG296" s="77">
        <f>AC296*6605.755</f>
        <v>3225.7474434942524</v>
      </c>
      <c r="AH296" s="32" t="e">
        <f>[1]Calc!$C$32/[1]Calc!$C$47</f>
        <v>#DIV/0!</v>
      </c>
      <c r="AI296" s="75"/>
      <c r="AJ296" s="76"/>
      <c r="AK296" s="89"/>
      <c r="AL296" s="77"/>
      <c r="AM296" s="32" t="e">
        <f>[1]Calc!$D$32/[1]Calc!$D$47</f>
        <v>#DIV/0!</v>
      </c>
      <c r="AN296" s="75"/>
      <c r="AO296" s="76"/>
      <c r="AP296" s="89"/>
      <c r="AQ296" s="77"/>
      <c r="AR296" s="32" t="e">
        <f>[1]Calc!$E$32/[1]Calc!$E$47</f>
        <v>#DIV/0!</v>
      </c>
      <c r="AS296" s="75"/>
      <c r="AT296" s="76"/>
      <c r="AU296" s="89"/>
      <c r="AV296" s="77">
        <f t="shared" si="12"/>
        <v>0</v>
      </c>
      <c r="AW296" s="30"/>
      <c r="AX296" s="75"/>
      <c r="AY296" s="44"/>
      <c r="AZ296" s="80"/>
      <c r="BA296" s="77">
        <f t="shared" si="13"/>
        <v>3225.7474434942524</v>
      </c>
      <c r="BB296" s="9"/>
    </row>
    <row r="297" spans="1:54" x14ac:dyDescent="0.35">
      <c r="A297" s="54"/>
      <c r="B297" s="181" t="s">
        <v>191</v>
      </c>
      <c r="C297" s="74" t="s">
        <v>27</v>
      </c>
      <c r="D297" s="75" t="s">
        <v>192</v>
      </c>
      <c r="E297" s="44">
        <v>0.48703484586972901</v>
      </c>
      <c r="F297" s="80">
        <v>4573.4705171223113</v>
      </c>
      <c r="G297" s="77">
        <v>2227.4395083964146</v>
      </c>
      <c r="H297" s="74"/>
      <c r="I297" s="75" t="s">
        <v>192</v>
      </c>
      <c r="J297" s="76">
        <v>0.48703484586972901</v>
      </c>
      <c r="K297" s="89">
        <v>4573.4705171223113</v>
      </c>
      <c r="L297" s="77">
        <v>2227.4395083964146</v>
      </c>
      <c r="M297" s="30"/>
      <c r="N297" s="75"/>
      <c r="O297" s="76"/>
      <c r="P297" s="89"/>
      <c r="Q297" s="77">
        <v>0</v>
      </c>
      <c r="R297" s="30"/>
      <c r="S297" s="75"/>
      <c r="T297" s="76"/>
      <c r="U297" s="89"/>
      <c r="V297" s="77">
        <v>0</v>
      </c>
      <c r="W297" s="30"/>
      <c r="X297" s="75"/>
      <c r="Y297" s="76"/>
      <c r="Z297" s="89"/>
      <c r="AA297" s="77">
        <v>0</v>
      </c>
      <c r="AB297" s="74"/>
      <c r="AC297" s="46">
        <f>[1]Calc!$B$32/[1]Calc!$B$47</f>
        <v>0.48832380908681178</v>
      </c>
      <c r="AD297" s="75"/>
      <c r="AE297" s="76"/>
      <c r="AF297" s="89"/>
      <c r="AG297" s="77">
        <f>AC297*6202.684</f>
        <v>3028.9182774418223</v>
      </c>
      <c r="AH297" s="32" t="e">
        <f>[1]Calc!$C$32/[1]Calc!$C$47</f>
        <v>#DIV/0!</v>
      </c>
      <c r="AI297" s="75"/>
      <c r="AJ297" s="76"/>
      <c r="AK297" s="89"/>
      <c r="AL297" s="77"/>
      <c r="AM297" s="32" t="e">
        <f>[1]Calc!$D$32/[1]Calc!$D$47</f>
        <v>#DIV/0!</v>
      </c>
      <c r="AN297" s="75"/>
      <c r="AO297" s="76"/>
      <c r="AP297" s="89"/>
      <c r="AQ297" s="77"/>
      <c r="AR297" s="32" t="e">
        <f>[1]Calc!$E$32/[1]Calc!$E$47</f>
        <v>#DIV/0!</v>
      </c>
      <c r="AS297" s="75"/>
      <c r="AT297" s="76"/>
      <c r="AU297" s="89"/>
      <c r="AV297" s="77">
        <f t="shared" si="12"/>
        <v>0</v>
      </c>
      <c r="AW297" s="30"/>
      <c r="AX297" s="75"/>
      <c r="AY297" s="44"/>
      <c r="AZ297" s="80"/>
      <c r="BA297" s="77">
        <f t="shared" si="13"/>
        <v>3028.9182774418223</v>
      </c>
      <c r="BB297" s="9"/>
    </row>
    <row r="298" spans="1:54" x14ac:dyDescent="0.35">
      <c r="A298" s="54"/>
      <c r="B298" s="183" t="s">
        <v>193</v>
      </c>
      <c r="C298" s="87" t="s">
        <v>27</v>
      </c>
      <c r="D298" s="75" t="s">
        <v>194</v>
      </c>
      <c r="E298" s="44">
        <v>2.4807148148543878</v>
      </c>
      <c r="F298" s="80">
        <v>548.81646205467734</v>
      </c>
      <c r="G298" s="77">
        <v>1361.457128055009</v>
      </c>
      <c r="H298" s="87"/>
      <c r="I298" s="75" t="s">
        <v>194</v>
      </c>
      <c r="J298" s="184">
        <v>0.48703484586972901</v>
      </c>
      <c r="K298" s="147">
        <v>548.81646205467734</v>
      </c>
      <c r="L298" s="77">
        <v>267.29274100756976</v>
      </c>
      <c r="M298" s="30"/>
      <c r="N298" s="75" t="s">
        <v>194</v>
      </c>
      <c r="O298" s="184">
        <v>0.72566871002054945</v>
      </c>
      <c r="P298" s="147">
        <v>548.81646205467734</v>
      </c>
      <c r="Q298" s="77">
        <v>398.25893405725952</v>
      </c>
      <c r="R298" s="30"/>
      <c r="S298" s="75" t="s">
        <v>194</v>
      </c>
      <c r="T298" s="184">
        <v>0.56964183557621728</v>
      </c>
      <c r="U298" s="147">
        <v>548.81646205467734</v>
      </c>
      <c r="V298" s="77">
        <v>312.62881683927179</v>
      </c>
      <c r="W298" s="30"/>
      <c r="X298" s="75" t="s">
        <v>194</v>
      </c>
      <c r="Y298" s="184">
        <v>0.69836942338789199</v>
      </c>
      <c r="Z298" s="147">
        <v>548.81646205467734</v>
      </c>
      <c r="AA298" s="77">
        <v>383.2766361509079</v>
      </c>
      <c r="AB298" s="87"/>
      <c r="AC298" s="46">
        <f>[1]Calc!$B$32/[1]Calc!$B$47</f>
        <v>0.48832380908681178</v>
      </c>
      <c r="AD298" s="75"/>
      <c r="AE298" s="184"/>
      <c r="AF298" s="147"/>
      <c r="AG298" s="77">
        <f>AC298*304.9</f>
        <v>148.88992939056891</v>
      </c>
      <c r="AH298" s="32" t="e">
        <f>[1]Calc!$C$32/[1]Calc!$C$47</f>
        <v>#DIV/0!</v>
      </c>
      <c r="AI298" s="75"/>
      <c r="AJ298" s="184"/>
      <c r="AK298" s="147"/>
      <c r="AL298" s="77"/>
      <c r="AM298" s="32" t="e">
        <f>[1]Calc!$D$32/[1]Calc!$D$47</f>
        <v>#DIV/0!</v>
      </c>
      <c r="AN298" s="75"/>
      <c r="AO298" s="184"/>
      <c r="AP298" s="147"/>
      <c r="AQ298" s="77"/>
      <c r="AR298" s="32" t="e">
        <f>[1]Calc!$E$32/[1]Calc!$E$47</f>
        <v>#DIV/0!</v>
      </c>
      <c r="AS298" s="75"/>
      <c r="AT298" s="184"/>
      <c r="AU298" s="147"/>
      <c r="AV298" s="77">
        <f t="shared" si="12"/>
        <v>0</v>
      </c>
      <c r="AW298" s="30"/>
      <c r="AX298" s="75"/>
      <c r="AY298" s="44"/>
      <c r="AZ298" s="80"/>
      <c r="BA298" s="77">
        <f t="shared" si="13"/>
        <v>148.88992939056891</v>
      </c>
      <c r="BB298" s="9"/>
    </row>
    <row r="299" spans="1:54" x14ac:dyDescent="0.35">
      <c r="A299" s="54"/>
      <c r="B299" s="181" t="s">
        <v>195</v>
      </c>
      <c r="C299" s="74" t="s">
        <v>27</v>
      </c>
      <c r="D299" s="75" t="s">
        <v>103</v>
      </c>
      <c r="E299" s="44">
        <v>0.48703484586972901</v>
      </c>
      <c r="F299" s="80">
        <v>609.79606894964149</v>
      </c>
      <c r="G299" s="77">
        <v>296.99193445285528</v>
      </c>
      <c r="H299" s="74"/>
      <c r="I299" s="75" t="s">
        <v>103</v>
      </c>
      <c r="J299" s="76">
        <v>0.48703484586972901</v>
      </c>
      <c r="K299" s="89">
        <v>609.79606894964149</v>
      </c>
      <c r="L299" s="77">
        <v>296.99193445285528</v>
      </c>
      <c r="M299" s="30"/>
      <c r="N299" s="75"/>
      <c r="O299" s="76"/>
      <c r="P299" s="89"/>
      <c r="Q299" s="77">
        <v>0</v>
      </c>
      <c r="R299" s="30"/>
      <c r="S299" s="75"/>
      <c r="T299" s="76"/>
      <c r="U299" s="89"/>
      <c r="V299" s="77">
        <v>0</v>
      </c>
      <c r="W299" s="30"/>
      <c r="X299" s="75"/>
      <c r="Y299" s="76"/>
      <c r="Z299" s="89"/>
      <c r="AA299" s="77">
        <v>0</v>
      </c>
      <c r="AB299" s="74"/>
      <c r="AC299" s="46">
        <f>[1]Calc!$B$32/[1]Calc!$B$47</f>
        <v>0.48832380908681178</v>
      </c>
      <c r="AD299" s="75"/>
      <c r="AE299" s="76"/>
      <c r="AF299" s="89"/>
      <c r="AG299" s="77">
        <f>AC299*3923.298</f>
        <v>1915.8398235426703</v>
      </c>
      <c r="AH299" s="32" t="e">
        <f>[1]Calc!$C$32/[1]Calc!$C$47</f>
        <v>#DIV/0!</v>
      </c>
      <c r="AI299" s="75"/>
      <c r="AJ299" s="76"/>
      <c r="AK299" s="89"/>
      <c r="AL299" s="77"/>
      <c r="AM299" s="32" t="e">
        <f>[1]Calc!$D$32/[1]Calc!$D$47</f>
        <v>#DIV/0!</v>
      </c>
      <c r="AN299" s="75"/>
      <c r="AO299" s="76"/>
      <c r="AP299" s="89"/>
      <c r="AQ299" s="77"/>
      <c r="AR299" s="32" t="e">
        <f>[1]Calc!$E$32/[1]Calc!$E$47</f>
        <v>#DIV/0!</v>
      </c>
      <c r="AS299" s="75"/>
      <c r="AT299" s="76"/>
      <c r="AU299" s="89"/>
      <c r="AV299" s="77">
        <f t="shared" si="12"/>
        <v>0</v>
      </c>
      <c r="AW299" s="30"/>
      <c r="AX299" s="75"/>
      <c r="AY299" s="44"/>
      <c r="AZ299" s="80"/>
      <c r="BA299" s="77">
        <f t="shared" si="13"/>
        <v>1915.8398235426703</v>
      </c>
      <c r="BB299" s="9"/>
    </row>
    <row r="300" spans="1:54" x14ac:dyDescent="0.35">
      <c r="A300" s="54"/>
      <c r="B300" s="55"/>
      <c r="C300" s="42"/>
      <c r="D300" s="43"/>
      <c r="E300" s="44"/>
      <c r="F300" s="89"/>
      <c r="G300" s="89"/>
      <c r="H300" s="42"/>
      <c r="I300" s="43"/>
      <c r="J300" s="44"/>
      <c r="K300" s="89"/>
      <c r="L300" s="89"/>
      <c r="M300" s="30"/>
      <c r="N300" s="43"/>
      <c r="O300" s="44"/>
      <c r="P300" s="89"/>
      <c r="Q300" s="89"/>
      <c r="R300" s="30"/>
      <c r="S300" s="43"/>
      <c r="T300" s="44"/>
      <c r="U300" s="89"/>
      <c r="V300" s="89"/>
      <c r="W300" s="30"/>
      <c r="X300" s="43"/>
      <c r="Y300" s="44"/>
      <c r="Z300" s="89"/>
      <c r="AA300" s="89"/>
      <c r="AB300" s="42"/>
      <c r="AC300" s="46"/>
      <c r="AD300" s="43"/>
      <c r="AE300" s="44"/>
      <c r="AF300" s="89"/>
      <c r="AG300" s="89"/>
      <c r="AH300" s="32"/>
      <c r="AI300" s="43"/>
      <c r="AJ300" s="44"/>
      <c r="AK300" s="89"/>
      <c r="AL300" s="89"/>
      <c r="AM300" s="32"/>
      <c r="AN300" s="43"/>
      <c r="AO300" s="44"/>
      <c r="AP300" s="89"/>
      <c r="AQ300" s="89"/>
      <c r="AR300" s="32"/>
      <c r="AS300" s="43"/>
      <c r="AT300" s="44"/>
      <c r="AU300" s="89"/>
      <c r="AV300" s="89"/>
      <c r="AW300" s="30"/>
      <c r="AX300" s="43"/>
      <c r="AY300" s="44"/>
      <c r="AZ300" s="89"/>
      <c r="BA300" s="89"/>
      <c r="BB300" s="9"/>
    </row>
    <row r="301" spans="1:54" x14ac:dyDescent="0.35">
      <c r="A301" s="54"/>
      <c r="B301" s="55" t="s">
        <v>196</v>
      </c>
      <c r="C301" s="42"/>
      <c r="D301" s="43"/>
      <c r="E301" s="44"/>
      <c r="F301" s="89"/>
      <c r="G301" s="89"/>
      <c r="H301" s="42"/>
      <c r="I301" s="43"/>
      <c r="J301" s="44"/>
      <c r="K301" s="89"/>
      <c r="L301" s="89"/>
      <c r="M301" s="30"/>
      <c r="N301" s="43"/>
      <c r="O301" s="44"/>
      <c r="P301" s="89"/>
      <c r="Q301" s="89"/>
      <c r="R301" s="30"/>
      <c r="S301" s="43"/>
      <c r="T301" s="44"/>
      <c r="U301" s="89"/>
      <c r="V301" s="89"/>
      <c r="W301" s="30"/>
      <c r="X301" s="43"/>
      <c r="Y301" s="44"/>
      <c r="Z301" s="89"/>
      <c r="AA301" s="89"/>
      <c r="AB301" s="42"/>
      <c r="AC301" s="46"/>
      <c r="AD301" s="43"/>
      <c r="AE301" s="44"/>
      <c r="AF301" s="89"/>
      <c r="AG301" s="89"/>
      <c r="AH301" s="32"/>
      <c r="AI301" s="43"/>
      <c r="AJ301" s="44"/>
      <c r="AK301" s="89"/>
      <c r="AL301" s="89"/>
      <c r="AM301" s="32"/>
      <c r="AN301" s="43"/>
      <c r="AO301" s="44"/>
      <c r="AP301" s="89"/>
      <c r="AQ301" s="89"/>
      <c r="AR301" s="32"/>
      <c r="AS301" s="43"/>
      <c r="AT301" s="44"/>
      <c r="AU301" s="89"/>
      <c r="AV301" s="89"/>
      <c r="AW301" s="30"/>
      <c r="AX301" s="43"/>
      <c r="AY301" s="44"/>
      <c r="AZ301" s="89"/>
      <c r="BA301" s="89"/>
      <c r="BB301" s="9"/>
    </row>
    <row r="302" spans="1:54" x14ac:dyDescent="0.35">
      <c r="A302" s="54" t="s">
        <v>266</v>
      </c>
      <c r="B302" s="180" t="s">
        <v>267</v>
      </c>
      <c r="C302" s="33"/>
      <c r="D302" s="43"/>
      <c r="E302" s="44"/>
      <c r="F302" s="56"/>
      <c r="G302" s="56"/>
      <c r="H302" s="33"/>
      <c r="I302" s="43"/>
      <c r="J302" s="44"/>
      <c r="K302" s="56"/>
      <c r="L302" s="56"/>
      <c r="M302" s="30"/>
      <c r="N302" s="43"/>
      <c r="O302" s="44"/>
      <c r="P302" s="56"/>
      <c r="Q302" s="56"/>
      <c r="R302" s="30"/>
      <c r="S302" s="43"/>
      <c r="T302" s="44"/>
      <c r="U302" s="56"/>
      <c r="V302" s="56"/>
      <c r="W302" s="30"/>
      <c r="X302" s="43"/>
      <c r="Y302" s="44"/>
      <c r="Z302" s="56"/>
      <c r="AA302" s="56"/>
      <c r="AB302" s="33"/>
      <c r="AC302" s="185"/>
      <c r="AD302" s="43"/>
      <c r="AE302" s="44"/>
      <c r="AF302" s="56"/>
      <c r="AG302" s="56"/>
      <c r="AH302" s="32"/>
      <c r="AI302" s="43"/>
      <c r="AJ302" s="44"/>
      <c r="AK302" s="56"/>
      <c r="AL302" s="56"/>
      <c r="AM302" s="32"/>
      <c r="AN302" s="43"/>
      <c r="AO302" s="44"/>
      <c r="AP302" s="56"/>
      <c r="AQ302" s="56"/>
      <c r="AR302" s="32"/>
      <c r="AS302" s="43"/>
      <c r="AT302" s="44"/>
      <c r="AU302" s="56"/>
      <c r="AV302" s="56"/>
      <c r="AW302" s="30"/>
      <c r="AX302" s="43"/>
      <c r="AY302" s="44"/>
      <c r="AZ302" s="56"/>
      <c r="BA302" s="56">
        <f t="shared" ref="BA302:BA365" si="14">AG302+AL302+AQ302+AV302</f>
        <v>0</v>
      </c>
      <c r="BB302" s="9"/>
    </row>
    <row r="303" spans="1:54" x14ac:dyDescent="0.35">
      <c r="A303" s="54"/>
      <c r="B303" s="188" t="s">
        <v>268</v>
      </c>
      <c r="C303" s="189"/>
      <c r="D303" s="190"/>
      <c r="E303" s="273"/>
      <c r="F303" s="192"/>
      <c r="G303" s="193"/>
      <c r="H303" s="189"/>
      <c r="I303" s="190"/>
      <c r="J303" s="273"/>
      <c r="K303" s="192"/>
      <c r="L303" s="193"/>
      <c r="M303" s="194"/>
      <c r="N303" s="190"/>
      <c r="O303" s="273"/>
      <c r="P303" s="192"/>
      <c r="Q303" s="193"/>
      <c r="R303" s="194"/>
      <c r="S303" s="190"/>
      <c r="T303" s="273"/>
      <c r="U303" s="192"/>
      <c r="V303" s="193"/>
      <c r="W303" s="194"/>
      <c r="X303" s="190"/>
      <c r="Y303" s="273"/>
      <c r="Z303" s="192"/>
      <c r="AA303" s="193"/>
      <c r="AB303" s="189"/>
      <c r="AC303" s="195"/>
      <c r="AD303" s="190"/>
      <c r="AE303" s="273"/>
      <c r="AF303" s="192"/>
      <c r="AG303" s="193">
        <v>0</v>
      </c>
      <c r="AH303" s="196"/>
      <c r="AI303" s="190"/>
      <c r="AJ303" s="273"/>
      <c r="AK303" s="192"/>
      <c r="AL303" s="193"/>
      <c r="AM303" s="196"/>
      <c r="AN303" s="190"/>
      <c r="AO303" s="273"/>
      <c r="AP303" s="192"/>
      <c r="AQ303" s="193"/>
      <c r="AR303" s="196"/>
      <c r="AS303" s="190"/>
      <c r="AT303" s="273"/>
      <c r="AU303" s="192"/>
      <c r="AV303" s="193"/>
      <c r="AW303" s="194"/>
      <c r="AX303" s="190"/>
      <c r="AY303" s="273"/>
      <c r="AZ303" s="192"/>
      <c r="BA303" s="193">
        <f t="shared" si="14"/>
        <v>0</v>
      </c>
      <c r="BB303" s="9"/>
    </row>
    <row r="304" spans="1:54" ht="43.5" x14ac:dyDescent="0.35">
      <c r="A304" s="54"/>
      <c r="B304" s="188" t="s">
        <v>269</v>
      </c>
      <c r="C304" s="189"/>
      <c r="D304" s="274"/>
      <c r="E304" s="191"/>
      <c r="F304" s="275"/>
      <c r="G304" s="193"/>
      <c r="H304" s="189"/>
      <c r="I304" s="274"/>
      <c r="J304" s="191"/>
      <c r="K304" s="275"/>
      <c r="L304" s="193"/>
      <c r="M304" s="194"/>
      <c r="N304" s="274"/>
      <c r="O304" s="191"/>
      <c r="P304" s="275"/>
      <c r="Q304" s="193"/>
      <c r="R304" s="194"/>
      <c r="S304" s="274"/>
      <c r="T304" s="191"/>
      <c r="U304" s="275"/>
      <c r="V304" s="193"/>
      <c r="W304" s="194"/>
      <c r="X304" s="274"/>
      <c r="Y304" s="191"/>
      <c r="Z304" s="275"/>
      <c r="AA304" s="193"/>
      <c r="AB304" s="189"/>
      <c r="AC304" s="195"/>
      <c r="AD304" s="274"/>
      <c r="AE304" s="191"/>
      <c r="AF304" s="275"/>
      <c r="AG304" s="193">
        <v>0</v>
      </c>
      <c r="AH304" s="196"/>
      <c r="AI304" s="274"/>
      <c r="AJ304" s="191"/>
      <c r="AK304" s="275"/>
      <c r="AL304" s="193"/>
      <c r="AM304" s="196"/>
      <c r="AN304" s="274"/>
      <c r="AO304" s="191"/>
      <c r="AP304" s="275"/>
      <c r="AQ304" s="193"/>
      <c r="AR304" s="196"/>
      <c r="AS304" s="274"/>
      <c r="AT304" s="191"/>
      <c r="AU304" s="275"/>
      <c r="AV304" s="193"/>
      <c r="AW304" s="194"/>
      <c r="AX304" s="274"/>
      <c r="AY304" s="191"/>
      <c r="AZ304" s="275"/>
      <c r="BA304" s="193">
        <f t="shared" si="14"/>
        <v>0</v>
      </c>
      <c r="BB304" s="9"/>
    </row>
    <row r="305" spans="1:54" x14ac:dyDescent="0.35">
      <c r="A305" s="54"/>
      <c r="B305" s="188" t="s">
        <v>270</v>
      </c>
      <c r="C305" s="189"/>
      <c r="D305" s="274"/>
      <c r="E305" s="191"/>
      <c r="F305" s="275"/>
      <c r="G305" s="193">
        <f>G309</f>
        <v>192085.76171913708</v>
      </c>
      <c r="H305" s="189"/>
      <c r="I305" s="274"/>
      <c r="J305" s="191"/>
      <c r="K305" s="275"/>
      <c r="L305" s="193">
        <f>L309</f>
        <v>128057.17447942472</v>
      </c>
      <c r="M305" s="194"/>
      <c r="N305" s="274"/>
      <c r="O305" s="191"/>
      <c r="P305" s="275"/>
      <c r="Q305" s="193">
        <f>Q309</f>
        <v>64028.58723971236</v>
      </c>
      <c r="R305" s="194"/>
      <c r="S305" s="274"/>
      <c r="T305" s="191"/>
      <c r="U305" s="275"/>
      <c r="V305" s="193">
        <f>V309</f>
        <v>0</v>
      </c>
      <c r="W305" s="194"/>
      <c r="X305" s="274"/>
      <c r="Y305" s="191"/>
      <c r="Z305" s="275"/>
      <c r="AA305" s="193">
        <f>AA309</f>
        <v>0</v>
      </c>
      <c r="AB305" s="189"/>
      <c r="AC305" s="195"/>
      <c r="AD305" s="274"/>
      <c r="AE305" s="191"/>
      <c r="AF305" s="275"/>
      <c r="AG305" s="193">
        <v>89070.994999999995</v>
      </c>
      <c r="AH305" s="196"/>
      <c r="AI305" s="274"/>
      <c r="AJ305" s="191"/>
      <c r="AK305" s="275"/>
      <c r="AL305" s="193"/>
      <c r="AM305" s="196"/>
      <c r="AN305" s="274"/>
      <c r="AO305" s="191"/>
      <c r="AP305" s="275"/>
      <c r="AQ305" s="193"/>
      <c r="AR305" s="196"/>
      <c r="AS305" s="274"/>
      <c r="AT305" s="191"/>
      <c r="AU305" s="275"/>
      <c r="AV305" s="193"/>
      <c r="AW305" s="194"/>
      <c r="AX305" s="274"/>
      <c r="AY305" s="191"/>
      <c r="AZ305" s="275"/>
      <c r="BA305" s="193">
        <f t="shared" si="14"/>
        <v>89070.994999999995</v>
      </c>
      <c r="BB305" s="9"/>
    </row>
    <row r="306" spans="1:54" hidden="1" x14ac:dyDescent="0.35">
      <c r="A306" s="54"/>
      <c r="B306" s="210" t="s">
        <v>202</v>
      </c>
      <c r="C306" s="42"/>
      <c r="D306" s="43"/>
      <c r="E306" s="44"/>
      <c r="F306" s="56"/>
      <c r="G306" s="56"/>
      <c r="H306" s="42"/>
      <c r="I306" s="43"/>
      <c r="J306" s="44"/>
      <c r="K306" s="56"/>
      <c r="L306" s="56"/>
      <c r="M306" s="30"/>
      <c r="N306" s="43"/>
      <c r="O306" s="44"/>
      <c r="P306" s="56"/>
      <c r="Q306" s="56"/>
      <c r="R306" s="30"/>
      <c r="S306" s="43"/>
      <c r="T306" s="44"/>
      <c r="U306" s="56"/>
      <c r="V306" s="56"/>
      <c r="W306" s="30"/>
      <c r="X306" s="43"/>
      <c r="Y306" s="44"/>
      <c r="Z306" s="56"/>
      <c r="AA306" s="56"/>
      <c r="AB306" s="42"/>
      <c r="AC306" s="46"/>
      <c r="AD306" s="43"/>
      <c r="AE306" s="44"/>
      <c r="AF306" s="56"/>
      <c r="AG306" s="56"/>
      <c r="AH306" s="32"/>
      <c r="AI306" s="43"/>
      <c r="AJ306" s="44"/>
      <c r="AK306" s="56"/>
      <c r="AL306" s="56"/>
      <c r="AM306" s="32"/>
      <c r="AN306" s="43"/>
      <c r="AO306" s="44"/>
      <c r="AP306" s="56"/>
      <c r="AQ306" s="56"/>
      <c r="AR306" s="32"/>
      <c r="AS306" s="43"/>
      <c r="AT306" s="44"/>
      <c r="AU306" s="56"/>
      <c r="AV306" s="56"/>
      <c r="AW306" s="30"/>
      <c r="AX306" s="43"/>
      <c r="AY306" s="44"/>
      <c r="AZ306" s="56"/>
      <c r="BA306" s="56">
        <f t="shared" si="14"/>
        <v>0</v>
      </c>
      <c r="BB306" s="9"/>
    </row>
    <row r="307" spans="1:54" hidden="1" x14ac:dyDescent="0.35">
      <c r="A307" s="54"/>
      <c r="B307" s="55" t="s">
        <v>203</v>
      </c>
      <c r="C307" s="42"/>
      <c r="D307" s="43"/>
      <c r="E307" s="44"/>
      <c r="F307" s="56"/>
      <c r="G307" s="56"/>
      <c r="H307" s="42"/>
      <c r="I307" s="43"/>
      <c r="J307" s="44"/>
      <c r="K307" s="56"/>
      <c r="L307" s="56"/>
      <c r="M307" s="30"/>
      <c r="N307" s="43"/>
      <c r="O307" s="44"/>
      <c r="P307" s="56"/>
      <c r="Q307" s="56"/>
      <c r="R307" s="30"/>
      <c r="S307" s="43"/>
      <c r="T307" s="44"/>
      <c r="U307" s="56"/>
      <c r="V307" s="56"/>
      <c r="W307" s="30"/>
      <c r="X307" s="43"/>
      <c r="Y307" s="44"/>
      <c r="Z307" s="56"/>
      <c r="AA307" s="56"/>
      <c r="AB307" s="42"/>
      <c r="AC307" s="46"/>
      <c r="AD307" s="43"/>
      <c r="AE307" s="44"/>
      <c r="AF307" s="56"/>
      <c r="AG307" s="56"/>
      <c r="AH307" s="32"/>
      <c r="AI307" s="43"/>
      <c r="AJ307" s="44"/>
      <c r="AK307" s="56"/>
      <c r="AL307" s="56"/>
      <c r="AM307" s="32"/>
      <c r="AN307" s="43"/>
      <c r="AO307" s="44"/>
      <c r="AP307" s="56"/>
      <c r="AQ307" s="56"/>
      <c r="AR307" s="32"/>
      <c r="AS307" s="43"/>
      <c r="AT307" s="44"/>
      <c r="AU307" s="56"/>
      <c r="AV307" s="56"/>
      <c r="AW307" s="30"/>
      <c r="AX307" s="43"/>
      <c r="AY307" s="44"/>
      <c r="AZ307" s="56"/>
      <c r="BA307" s="56">
        <f t="shared" si="14"/>
        <v>0</v>
      </c>
      <c r="BB307" s="9"/>
    </row>
    <row r="308" spans="1:54" hidden="1" x14ac:dyDescent="0.35">
      <c r="A308" s="54"/>
      <c r="B308" s="174" t="s">
        <v>210</v>
      </c>
      <c r="C308" s="87"/>
      <c r="D308" s="75"/>
      <c r="E308" s="44"/>
      <c r="F308" s="56"/>
      <c r="G308" s="56">
        <v>0</v>
      </c>
      <c r="H308" s="87"/>
      <c r="I308" s="75"/>
      <c r="J308" s="44"/>
      <c r="K308" s="56"/>
      <c r="L308" s="56">
        <v>0</v>
      </c>
      <c r="M308" s="30"/>
      <c r="N308" s="75"/>
      <c r="O308" s="44"/>
      <c r="P308" s="56"/>
      <c r="Q308" s="56">
        <v>0</v>
      </c>
      <c r="R308" s="30"/>
      <c r="S308" s="75"/>
      <c r="T308" s="44"/>
      <c r="U308" s="56"/>
      <c r="V308" s="56">
        <v>0</v>
      </c>
      <c r="W308" s="30"/>
      <c r="X308" s="75"/>
      <c r="Y308" s="44"/>
      <c r="Z308" s="56"/>
      <c r="AA308" s="56">
        <v>0</v>
      </c>
      <c r="AB308" s="87"/>
      <c r="AC308" s="90"/>
      <c r="AD308" s="75"/>
      <c r="AE308" s="44"/>
      <c r="AF308" s="56"/>
      <c r="AG308" s="56">
        <v>0</v>
      </c>
      <c r="AH308" s="32"/>
      <c r="AI308" s="75"/>
      <c r="AJ308" s="44"/>
      <c r="AK308" s="56"/>
      <c r="AL308" s="56">
        <v>0</v>
      </c>
      <c r="AM308" s="32"/>
      <c r="AN308" s="75"/>
      <c r="AO308" s="44"/>
      <c r="AP308" s="56"/>
      <c r="AQ308" s="56">
        <v>0</v>
      </c>
      <c r="AR308" s="32"/>
      <c r="AS308" s="75"/>
      <c r="AT308" s="44"/>
      <c r="AU308" s="56"/>
      <c r="AV308" s="56">
        <v>0</v>
      </c>
      <c r="AW308" s="30"/>
      <c r="AX308" s="75"/>
      <c r="AY308" s="44"/>
      <c r="AZ308" s="56"/>
      <c r="BA308" s="56">
        <f t="shared" si="14"/>
        <v>0</v>
      </c>
      <c r="BB308" s="9"/>
    </row>
    <row r="309" spans="1:54" x14ac:dyDescent="0.35">
      <c r="A309" s="54"/>
      <c r="B309" s="55" t="s">
        <v>271</v>
      </c>
      <c r="C309" s="87" t="s">
        <v>201</v>
      </c>
      <c r="D309" s="176" t="s">
        <v>272</v>
      </c>
      <c r="E309" s="197">
        <v>90</v>
      </c>
      <c r="F309" s="177">
        <v>2134.2862413237453</v>
      </c>
      <c r="G309" s="177">
        <v>192085.76171913708</v>
      </c>
      <c r="H309" s="87"/>
      <c r="I309" s="176" t="s">
        <v>272</v>
      </c>
      <c r="J309" s="197">
        <v>60</v>
      </c>
      <c r="K309" s="276">
        <v>2134.2862413237453</v>
      </c>
      <c r="L309" s="146">
        <v>128057.17447942472</v>
      </c>
      <c r="M309" s="178"/>
      <c r="N309" s="176" t="s">
        <v>272</v>
      </c>
      <c r="O309" s="277">
        <v>30</v>
      </c>
      <c r="P309" s="278">
        <v>2134.2862413237453</v>
      </c>
      <c r="Q309" s="279">
        <v>64028.58723971236</v>
      </c>
      <c r="R309" s="30"/>
      <c r="S309" s="176"/>
      <c r="T309" s="277"/>
      <c r="U309" s="278"/>
      <c r="V309" s="146">
        <v>0</v>
      </c>
      <c r="W309" s="30"/>
      <c r="X309" s="199"/>
      <c r="Y309" s="197"/>
      <c r="Z309" s="146"/>
      <c r="AA309" s="146"/>
      <c r="AB309" s="87"/>
      <c r="AC309" s="90"/>
      <c r="AD309" s="176"/>
      <c r="AE309" s="197"/>
      <c r="AF309" s="276"/>
      <c r="AG309" s="146"/>
      <c r="AH309" s="200"/>
      <c r="AI309" s="176"/>
      <c r="AJ309" s="277"/>
      <c r="AK309" s="278"/>
      <c r="AL309" s="279"/>
      <c r="AM309" s="32"/>
      <c r="AN309" s="176"/>
      <c r="AO309" s="277"/>
      <c r="AP309" s="278"/>
      <c r="AQ309" s="146"/>
      <c r="AR309" s="32"/>
      <c r="AS309" s="199"/>
      <c r="AT309" s="197"/>
      <c r="AU309" s="146"/>
      <c r="AV309" s="146"/>
      <c r="AW309" s="30"/>
      <c r="AX309" s="176"/>
      <c r="AY309" s="197"/>
      <c r="AZ309" s="177"/>
      <c r="BA309" s="56">
        <f t="shared" si="14"/>
        <v>0</v>
      </c>
      <c r="BB309" s="9"/>
    </row>
    <row r="310" spans="1:54" hidden="1" x14ac:dyDescent="0.35">
      <c r="A310" s="54"/>
      <c r="B310" s="174" t="s">
        <v>246</v>
      </c>
      <c r="C310" s="87"/>
      <c r="D310" s="199"/>
      <c r="E310" s="197">
        <v>0</v>
      </c>
      <c r="F310" s="177">
        <v>0</v>
      </c>
      <c r="G310" s="177">
        <v>0</v>
      </c>
      <c r="H310" s="87"/>
      <c r="I310" s="199"/>
      <c r="J310" s="197"/>
      <c r="K310" s="198"/>
      <c r="L310" s="146">
        <v>0</v>
      </c>
      <c r="M310" s="178"/>
      <c r="N310" s="199"/>
      <c r="O310" s="197"/>
      <c r="P310" s="146"/>
      <c r="Q310" s="146">
        <v>0</v>
      </c>
      <c r="R310" s="30"/>
      <c r="S310" s="199"/>
      <c r="T310" s="197"/>
      <c r="U310" s="146"/>
      <c r="V310" s="146">
        <v>0</v>
      </c>
      <c r="W310" s="30"/>
      <c r="X310" s="199"/>
      <c r="Y310" s="197"/>
      <c r="Z310" s="146"/>
      <c r="AA310" s="146"/>
      <c r="AB310" s="87"/>
      <c r="AC310" s="90"/>
      <c r="AD310" s="199"/>
      <c r="AE310" s="197"/>
      <c r="AF310" s="198"/>
      <c r="AG310" s="146"/>
      <c r="AH310" s="200"/>
      <c r="AI310" s="199"/>
      <c r="AJ310" s="197"/>
      <c r="AK310" s="146"/>
      <c r="AL310" s="146"/>
      <c r="AM310" s="32"/>
      <c r="AN310" s="199"/>
      <c r="AO310" s="197"/>
      <c r="AP310" s="146"/>
      <c r="AQ310" s="146"/>
      <c r="AR310" s="32"/>
      <c r="AS310" s="199"/>
      <c r="AT310" s="197"/>
      <c r="AU310" s="146"/>
      <c r="AV310" s="146"/>
      <c r="AW310" s="30"/>
      <c r="AX310" s="199"/>
      <c r="AY310" s="197"/>
      <c r="AZ310" s="177"/>
      <c r="BA310" s="56">
        <f t="shared" si="14"/>
        <v>0</v>
      </c>
      <c r="BB310" s="9"/>
    </row>
    <row r="311" spans="1:54" x14ac:dyDescent="0.35">
      <c r="A311" s="54"/>
      <c r="B311" s="188" t="s">
        <v>273</v>
      </c>
      <c r="C311" s="189"/>
      <c r="D311" s="202"/>
      <c r="E311" s="203"/>
      <c r="F311" s="204"/>
      <c r="G311" s="204">
        <f>G315</f>
        <v>274408.23102733871</v>
      </c>
      <c r="H311" s="189"/>
      <c r="I311" s="214"/>
      <c r="J311" s="203"/>
      <c r="K311" s="257"/>
      <c r="L311" s="206">
        <f>L315</f>
        <v>121959.21378992831</v>
      </c>
      <c r="M311" s="207"/>
      <c r="N311" s="214"/>
      <c r="O311" s="203"/>
      <c r="P311" s="206"/>
      <c r="Q311" s="206">
        <f>Q315</f>
        <v>76224.508618705193</v>
      </c>
      <c r="R311" s="194"/>
      <c r="S311" s="202"/>
      <c r="T311" s="203"/>
      <c r="U311" s="206"/>
      <c r="V311" s="206">
        <f>V315</f>
        <v>76224.508618705193</v>
      </c>
      <c r="W311" s="194"/>
      <c r="X311" s="202"/>
      <c r="Y311" s="203"/>
      <c r="Z311" s="206"/>
      <c r="AA311" s="206">
        <f>AA315</f>
        <v>0</v>
      </c>
      <c r="AB311" s="189"/>
      <c r="AC311" s="195"/>
      <c r="AD311" s="214"/>
      <c r="AE311" s="203"/>
      <c r="AF311" s="257"/>
      <c r="AG311" s="206">
        <v>0</v>
      </c>
      <c r="AH311" s="209"/>
      <c r="AI311" s="214"/>
      <c r="AJ311" s="203"/>
      <c r="AK311" s="206"/>
      <c r="AL311" s="206"/>
      <c r="AM311" s="196"/>
      <c r="AN311" s="202"/>
      <c r="AO311" s="203"/>
      <c r="AP311" s="206"/>
      <c r="AQ311" s="206"/>
      <c r="AR311" s="196"/>
      <c r="AS311" s="202"/>
      <c r="AT311" s="203"/>
      <c r="AU311" s="206"/>
      <c r="AV311" s="206"/>
      <c r="AW311" s="194"/>
      <c r="AX311" s="202"/>
      <c r="AY311" s="203"/>
      <c r="AZ311" s="204"/>
      <c r="BA311" s="193">
        <f t="shared" si="14"/>
        <v>0</v>
      </c>
      <c r="BB311" s="9"/>
    </row>
    <row r="312" spans="1:54" hidden="1" x14ac:dyDescent="0.35">
      <c r="A312" s="54"/>
      <c r="B312" s="210" t="s">
        <v>202</v>
      </c>
      <c r="C312" s="42"/>
      <c r="D312" s="199"/>
      <c r="E312" s="197"/>
      <c r="F312" s="146"/>
      <c r="G312" s="146"/>
      <c r="H312" s="42"/>
      <c r="I312" s="199"/>
      <c r="J312" s="197"/>
      <c r="K312" s="198"/>
      <c r="L312" s="146"/>
      <c r="M312" s="178"/>
      <c r="N312" s="199"/>
      <c r="O312" s="197"/>
      <c r="P312" s="146"/>
      <c r="Q312" s="146"/>
      <c r="R312" s="30"/>
      <c r="S312" s="199"/>
      <c r="T312" s="197"/>
      <c r="U312" s="146"/>
      <c r="V312" s="146"/>
      <c r="W312" s="30"/>
      <c r="X312" s="199"/>
      <c r="Y312" s="197"/>
      <c r="Z312" s="146"/>
      <c r="AA312" s="146"/>
      <c r="AB312" s="42"/>
      <c r="AC312" s="46"/>
      <c r="AD312" s="199"/>
      <c r="AE312" s="197"/>
      <c r="AF312" s="198"/>
      <c r="AG312" s="146"/>
      <c r="AH312" s="200"/>
      <c r="AI312" s="199"/>
      <c r="AJ312" s="197"/>
      <c r="AK312" s="146"/>
      <c r="AL312" s="146"/>
      <c r="AM312" s="32"/>
      <c r="AN312" s="199"/>
      <c r="AO312" s="197"/>
      <c r="AP312" s="146"/>
      <c r="AQ312" s="146"/>
      <c r="AR312" s="32"/>
      <c r="AS312" s="199"/>
      <c r="AT312" s="197"/>
      <c r="AU312" s="146"/>
      <c r="AV312" s="146"/>
      <c r="AW312" s="30"/>
      <c r="AX312" s="199"/>
      <c r="AY312" s="197"/>
      <c r="AZ312" s="146"/>
      <c r="BA312" s="56">
        <f t="shared" si="14"/>
        <v>0</v>
      </c>
      <c r="BB312" s="9"/>
    </row>
    <row r="313" spans="1:54" hidden="1" x14ac:dyDescent="0.35">
      <c r="A313" s="54"/>
      <c r="B313" s="55" t="s">
        <v>203</v>
      </c>
      <c r="C313" s="42"/>
      <c r="D313" s="199"/>
      <c r="E313" s="197">
        <v>0</v>
      </c>
      <c r="F313" s="177">
        <v>0</v>
      </c>
      <c r="G313" s="177">
        <v>0</v>
      </c>
      <c r="H313" s="42"/>
      <c r="I313" s="199"/>
      <c r="J313" s="197"/>
      <c r="K313" s="198"/>
      <c r="L313" s="146"/>
      <c r="M313" s="178"/>
      <c r="N313" s="199"/>
      <c r="O313" s="197"/>
      <c r="P313" s="146"/>
      <c r="Q313" s="146"/>
      <c r="R313" s="30"/>
      <c r="S313" s="199"/>
      <c r="T313" s="197"/>
      <c r="U313" s="146"/>
      <c r="V313" s="146"/>
      <c r="W313" s="30"/>
      <c r="X313" s="199"/>
      <c r="Y313" s="197"/>
      <c r="Z313" s="146"/>
      <c r="AA313" s="146"/>
      <c r="AB313" s="42"/>
      <c r="AC313" s="46"/>
      <c r="AD313" s="199"/>
      <c r="AE313" s="197"/>
      <c r="AF313" s="198"/>
      <c r="AG313" s="146"/>
      <c r="AH313" s="200"/>
      <c r="AI313" s="199"/>
      <c r="AJ313" s="197"/>
      <c r="AK313" s="146"/>
      <c r="AL313" s="146"/>
      <c r="AM313" s="32"/>
      <c r="AN313" s="199"/>
      <c r="AO313" s="197"/>
      <c r="AP313" s="146"/>
      <c r="AQ313" s="146"/>
      <c r="AR313" s="32"/>
      <c r="AS313" s="199"/>
      <c r="AT313" s="197"/>
      <c r="AU313" s="146"/>
      <c r="AV313" s="146"/>
      <c r="AW313" s="30"/>
      <c r="AX313" s="199"/>
      <c r="AY313" s="197"/>
      <c r="AZ313" s="177"/>
      <c r="BA313" s="56">
        <f t="shared" si="14"/>
        <v>0</v>
      </c>
      <c r="BB313" s="9"/>
    </row>
    <row r="314" spans="1:54" hidden="1" x14ac:dyDescent="0.35">
      <c r="A314" s="54"/>
      <c r="B314" s="174" t="s">
        <v>210</v>
      </c>
      <c r="C314" s="87"/>
      <c r="D314" s="199"/>
      <c r="E314" s="197">
        <v>0</v>
      </c>
      <c r="F314" s="177">
        <v>0</v>
      </c>
      <c r="G314" s="177">
        <v>0</v>
      </c>
      <c r="H314" s="87"/>
      <c r="I314" s="176"/>
      <c r="J314" s="197"/>
      <c r="K314" s="198"/>
      <c r="L314" s="146">
        <v>0</v>
      </c>
      <c r="M314" s="178"/>
      <c r="N314" s="176"/>
      <c r="O314" s="197"/>
      <c r="P314" s="146"/>
      <c r="Q314" s="146">
        <v>0</v>
      </c>
      <c r="R314" s="30"/>
      <c r="S314" s="199"/>
      <c r="T314" s="197"/>
      <c r="U314" s="146"/>
      <c r="V314" s="146">
        <v>0</v>
      </c>
      <c r="W314" s="30"/>
      <c r="X314" s="199"/>
      <c r="Y314" s="197"/>
      <c r="Z314" s="146"/>
      <c r="AA314" s="146"/>
      <c r="AB314" s="87"/>
      <c r="AC314" s="90"/>
      <c r="AD314" s="176"/>
      <c r="AE314" s="197"/>
      <c r="AF314" s="198"/>
      <c r="AG314" s="146"/>
      <c r="AH314" s="200"/>
      <c r="AI314" s="176"/>
      <c r="AJ314" s="197"/>
      <c r="AK314" s="146"/>
      <c r="AL314" s="146"/>
      <c r="AM314" s="32"/>
      <c r="AN314" s="199"/>
      <c r="AO314" s="197"/>
      <c r="AP314" s="146"/>
      <c r="AQ314" s="146"/>
      <c r="AR314" s="32"/>
      <c r="AS314" s="199"/>
      <c r="AT314" s="197"/>
      <c r="AU314" s="146"/>
      <c r="AV314" s="146"/>
      <c r="AW314" s="30"/>
      <c r="AX314" s="199"/>
      <c r="AY314" s="197"/>
      <c r="AZ314" s="177"/>
      <c r="BA314" s="56">
        <f t="shared" si="14"/>
        <v>0</v>
      </c>
      <c r="BB314" s="9"/>
    </row>
    <row r="315" spans="1:54" x14ac:dyDescent="0.35">
      <c r="A315" s="54"/>
      <c r="B315" s="55" t="s">
        <v>274</v>
      </c>
      <c r="C315" s="87" t="s">
        <v>201</v>
      </c>
      <c r="D315" s="176" t="s">
        <v>272</v>
      </c>
      <c r="E315" s="197">
        <v>360</v>
      </c>
      <c r="F315" s="177">
        <v>762.24508618705192</v>
      </c>
      <c r="G315" s="177">
        <v>274408.23102733871</v>
      </c>
      <c r="H315" s="87"/>
      <c r="I315" s="176" t="s">
        <v>272</v>
      </c>
      <c r="J315" s="197">
        <v>160</v>
      </c>
      <c r="K315" s="276">
        <v>762.24508618705192</v>
      </c>
      <c r="L315" s="212">
        <v>121959.21378992831</v>
      </c>
      <c r="M315" s="178"/>
      <c r="N315" s="176" t="s">
        <v>272</v>
      </c>
      <c r="O315" s="277">
        <v>100</v>
      </c>
      <c r="P315" s="278">
        <v>762.24508618705192</v>
      </c>
      <c r="Q315" s="279">
        <v>76224.508618705193</v>
      </c>
      <c r="R315" s="30"/>
      <c r="S315" s="176" t="s">
        <v>272</v>
      </c>
      <c r="T315" s="277">
        <v>100</v>
      </c>
      <c r="U315" s="278">
        <v>762.24508618705192</v>
      </c>
      <c r="V315" s="146">
        <v>76224.508618705193</v>
      </c>
      <c r="W315" s="30"/>
      <c r="X315" s="176"/>
      <c r="Y315" s="277"/>
      <c r="Z315" s="278"/>
      <c r="AA315" s="146"/>
      <c r="AB315" s="87"/>
      <c r="AC315" s="90"/>
      <c r="AD315" s="176"/>
      <c r="AE315" s="197"/>
      <c r="AF315" s="276"/>
      <c r="AG315" s="212"/>
      <c r="AH315" s="200"/>
      <c r="AI315" s="176"/>
      <c r="AJ315" s="277"/>
      <c r="AK315" s="278"/>
      <c r="AL315" s="279"/>
      <c r="AM315" s="32"/>
      <c r="AN315" s="176"/>
      <c r="AO315" s="277"/>
      <c r="AP315" s="278"/>
      <c r="AQ315" s="146"/>
      <c r="AR315" s="32"/>
      <c r="AS315" s="176"/>
      <c r="AT315" s="277"/>
      <c r="AU315" s="278"/>
      <c r="AV315" s="146"/>
      <c r="AW315" s="30"/>
      <c r="AX315" s="176"/>
      <c r="AY315" s="197"/>
      <c r="AZ315" s="177"/>
      <c r="BA315" s="56">
        <f t="shared" si="14"/>
        <v>0</v>
      </c>
      <c r="BB315" s="9"/>
    </row>
    <row r="316" spans="1:54" hidden="1" x14ac:dyDescent="0.35">
      <c r="A316" s="54"/>
      <c r="B316" s="174" t="s">
        <v>246</v>
      </c>
      <c r="C316" s="87"/>
      <c r="D316" s="199"/>
      <c r="E316" s="197">
        <v>0</v>
      </c>
      <c r="F316" s="177">
        <v>0</v>
      </c>
      <c r="G316" s="177">
        <v>0</v>
      </c>
      <c r="H316" s="87"/>
      <c r="I316" s="199"/>
      <c r="J316" s="197"/>
      <c r="K316" s="198"/>
      <c r="L316" s="146">
        <v>0</v>
      </c>
      <c r="M316" s="178"/>
      <c r="N316" s="199"/>
      <c r="O316" s="197"/>
      <c r="P316" s="146"/>
      <c r="Q316" s="146"/>
      <c r="R316" s="30"/>
      <c r="S316" s="199"/>
      <c r="T316" s="197"/>
      <c r="U316" s="146"/>
      <c r="V316" s="146"/>
      <c r="W316" s="30"/>
      <c r="X316" s="199"/>
      <c r="Y316" s="197"/>
      <c r="Z316" s="146"/>
      <c r="AA316" s="146"/>
      <c r="AB316" s="87"/>
      <c r="AC316" s="90"/>
      <c r="AD316" s="199"/>
      <c r="AE316" s="197"/>
      <c r="AF316" s="198"/>
      <c r="AG316" s="146"/>
      <c r="AH316" s="200"/>
      <c r="AI316" s="199"/>
      <c r="AJ316" s="197"/>
      <c r="AK316" s="146"/>
      <c r="AL316" s="146"/>
      <c r="AM316" s="32"/>
      <c r="AN316" s="199"/>
      <c r="AO316" s="197"/>
      <c r="AP316" s="146"/>
      <c r="AQ316" s="146"/>
      <c r="AR316" s="32"/>
      <c r="AS316" s="199"/>
      <c r="AT316" s="197"/>
      <c r="AU316" s="146"/>
      <c r="AV316" s="146"/>
      <c r="AW316" s="30"/>
      <c r="AX316" s="199"/>
      <c r="AY316" s="197"/>
      <c r="AZ316" s="177"/>
      <c r="BA316" s="56">
        <f t="shared" si="14"/>
        <v>0</v>
      </c>
      <c r="BB316" s="9"/>
    </row>
    <row r="317" spans="1:54" ht="29" x14ac:dyDescent="0.35">
      <c r="A317" s="54"/>
      <c r="B317" s="188" t="s">
        <v>275</v>
      </c>
      <c r="C317" s="189"/>
      <c r="D317" s="214"/>
      <c r="E317" s="203">
        <v>0</v>
      </c>
      <c r="F317" s="204">
        <v>0</v>
      </c>
      <c r="G317" s="204">
        <v>0</v>
      </c>
      <c r="H317" s="189"/>
      <c r="I317" s="214"/>
      <c r="J317" s="203"/>
      <c r="K317" s="280"/>
      <c r="L317" s="206"/>
      <c r="M317" s="207"/>
      <c r="N317" s="214"/>
      <c r="O317" s="203"/>
      <c r="P317" s="281"/>
      <c r="Q317" s="206"/>
      <c r="R317" s="194"/>
      <c r="S317" s="214"/>
      <c r="T317" s="203"/>
      <c r="U317" s="206"/>
      <c r="V317" s="206"/>
      <c r="W317" s="194"/>
      <c r="X317" s="214"/>
      <c r="Y317" s="203"/>
      <c r="Z317" s="206"/>
      <c r="AA317" s="206"/>
      <c r="AB317" s="189"/>
      <c r="AC317" s="195"/>
      <c r="AD317" s="214"/>
      <c r="AE317" s="203"/>
      <c r="AF317" s="280"/>
      <c r="AG317" s="206">
        <v>0</v>
      </c>
      <c r="AH317" s="209"/>
      <c r="AI317" s="214"/>
      <c r="AJ317" s="203"/>
      <c r="AK317" s="281"/>
      <c r="AL317" s="206"/>
      <c r="AM317" s="196"/>
      <c r="AN317" s="214"/>
      <c r="AO317" s="203"/>
      <c r="AP317" s="206"/>
      <c r="AQ317" s="206"/>
      <c r="AR317" s="196"/>
      <c r="AS317" s="214"/>
      <c r="AT317" s="203"/>
      <c r="AU317" s="206"/>
      <c r="AV317" s="206"/>
      <c r="AW317" s="194"/>
      <c r="AX317" s="214"/>
      <c r="AY317" s="203"/>
      <c r="AZ317" s="204"/>
      <c r="BA317" s="193">
        <f t="shared" si="14"/>
        <v>0</v>
      </c>
      <c r="BB317" s="9"/>
    </row>
    <row r="318" spans="1:54" x14ac:dyDescent="0.35">
      <c r="A318" s="54"/>
      <c r="B318" s="188" t="s">
        <v>276</v>
      </c>
      <c r="C318" s="189"/>
      <c r="D318" s="214"/>
      <c r="E318" s="203"/>
      <c r="F318" s="204"/>
      <c r="G318" s="204">
        <f>G322</f>
        <v>329289.87723280641</v>
      </c>
      <c r="H318" s="189"/>
      <c r="I318" s="214"/>
      <c r="J318" s="203"/>
      <c r="K318" s="280"/>
      <c r="L318" s="206">
        <f>L322</f>
        <v>146351.05654791396</v>
      </c>
      <c r="M318" s="207"/>
      <c r="N318" s="214"/>
      <c r="O318" s="203"/>
      <c r="P318" s="281"/>
      <c r="Q318" s="206">
        <f>Q322</f>
        <v>182938.82068489245</v>
      </c>
      <c r="R318" s="194"/>
      <c r="S318" s="214"/>
      <c r="T318" s="203"/>
      <c r="U318" s="206"/>
      <c r="V318" s="206">
        <f>V322</f>
        <v>0</v>
      </c>
      <c r="W318" s="194"/>
      <c r="X318" s="214"/>
      <c r="Y318" s="203"/>
      <c r="Z318" s="206"/>
      <c r="AA318" s="206">
        <f>AA322</f>
        <v>0</v>
      </c>
      <c r="AB318" s="189"/>
      <c r="AC318" s="195"/>
      <c r="AD318" s="214"/>
      <c r="AE318" s="203"/>
      <c r="AF318" s="280"/>
      <c r="AG318" s="206">
        <v>44019.656000000003</v>
      </c>
      <c r="AH318" s="209"/>
      <c r="AI318" s="214"/>
      <c r="AJ318" s="203"/>
      <c r="AK318" s="281"/>
      <c r="AL318" s="206"/>
      <c r="AM318" s="196"/>
      <c r="AN318" s="214"/>
      <c r="AO318" s="203"/>
      <c r="AP318" s="206"/>
      <c r="AQ318" s="206"/>
      <c r="AR318" s="196"/>
      <c r="AS318" s="214"/>
      <c r="AT318" s="203"/>
      <c r="AU318" s="206"/>
      <c r="AV318" s="206"/>
      <c r="AW318" s="194"/>
      <c r="AX318" s="214"/>
      <c r="AY318" s="203"/>
      <c r="AZ318" s="204"/>
      <c r="BA318" s="193">
        <f t="shared" si="14"/>
        <v>44019.656000000003</v>
      </c>
      <c r="BB318" s="9"/>
    </row>
    <row r="319" spans="1:54" hidden="1" x14ac:dyDescent="0.35">
      <c r="A319" s="54"/>
      <c r="B319" s="210" t="s">
        <v>202</v>
      </c>
      <c r="C319" s="42"/>
      <c r="D319" s="199"/>
      <c r="E319" s="197"/>
      <c r="F319" s="146"/>
      <c r="G319" s="146"/>
      <c r="H319" s="42"/>
      <c r="I319" s="199"/>
      <c r="J319" s="197"/>
      <c r="K319" s="198"/>
      <c r="L319" s="146"/>
      <c r="M319" s="178"/>
      <c r="N319" s="199"/>
      <c r="O319" s="197"/>
      <c r="P319" s="146"/>
      <c r="Q319" s="146"/>
      <c r="R319" s="30"/>
      <c r="S319" s="199"/>
      <c r="T319" s="197"/>
      <c r="U319" s="146"/>
      <c r="V319" s="146"/>
      <c r="W319" s="30"/>
      <c r="X319" s="199"/>
      <c r="Y319" s="197"/>
      <c r="Z319" s="146"/>
      <c r="AA319" s="146"/>
      <c r="AB319" s="42"/>
      <c r="AC319" s="46"/>
      <c r="AD319" s="199"/>
      <c r="AE319" s="197"/>
      <c r="AF319" s="198"/>
      <c r="AG319" s="146"/>
      <c r="AH319" s="200"/>
      <c r="AI319" s="199"/>
      <c r="AJ319" s="197"/>
      <c r="AK319" s="146"/>
      <c r="AL319" s="146"/>
      <c r="AM319" s="32"/>
      <c r="AN319" s="199"/>
      <c r="AO319" s="197"/>
      <c r="AP319" s="146"/>
      <c r="AQ319" s="146"/>
      <c r="AR319" s="32"/>
      <c r="AS319" s="199"/>
      <c r="AT319" s="197"/>
      <c r="AU319" s="146"/>
      <c r="AV319" s="146"/>
      <c r="AW319" s="30"/>
      <c r="AX319" s="199"/>
      <c r="AY319" s="197"/>
      <c r="AZ319" s="146"/>
      <c r="BA319" s="56">
        <f t="shared" si="14"/>
        <v>0</v>
      </c>
      <c r="BB319" s="9"/>
    </row>
    <row r="320" spans="1:54" hidden="1" x14ac:dyDescent="0.35">
      <c r="A320" s="54"/>
      <c r="B320" s="55" t="s">
        <v>203</v>
      </c>
      <c r="C320" s="42"/>
      <c r="D320" s="199"/>
      <c r="E320" s="197">
        <v>0</v>
      </c>
      <c r="F320" s="177">
        <v>0</v>
      </c>
      <c r="G320" s="177">
        <v>0</v>
      </c>
      <c r="H320" s="42"/>
      <c r="I320" s="199"/>
      <c r="J320" s="197"/>
      <c r="K320" s="198"/>
      <c r="L320" s="146"/>
      <c r="M320" s="178"/>
      <c r="N320" s="199"/>
      <c r="O320" s="197"/>
      <c r="P320" s="146"/>
      <c r="Q320" s="146"/>
      <c r="R320" s="30"/>
      <c r="S320" s="199"/>
      <c r="T320" s="197"/>
      <c r="U320" s="146"/>
      <c r="V320" s="146"/>
      <c r="W320" s="30"/>
      <c r="X320" s="199"/>
      <c r="Y320" s="197"/>
      <c r="Z320" s="146"/>
      <c r="AA320" s="146"/>
      <c r="AB320" s="42"/>
      <c r="AC320" s="46"/>
      <c r="AD320" s="199"/>
      <c r="AE320" s="197"/>
      <c r="AF320" s="198"/>
      <c r="AG320" s="146"/>
      <c r="AH320" s="200"/>
      <c r="AI320" s="199"/>
      <c r="AJ320" s="197"/>
      <c r="AK320" s="146"/>
      <c r="AL320" s="146"/>
      <c r="AM320" s="32"/>
      <c r="AN320" s="199"/>
      <c r="AO320" s="197"/>
      <c r="AP320" s="146"/>
      <c r="AQ320" s="146"/>
      <c r="AR320" s="32"/>
      <c r="AS320" s="199"/>
      <c r="AT320" s="197"/>
      <c r="AU320" s="146"/>
      <c r="AV320" s="146"/>
      <c r="AW320" s="30"/>
      <c r="AX320" s="199"/>
      <c r="AY320" s="197"/>
      <c r="AZ320" s="177"/>
      <c r="BA320" s="56">
        <f t="shared" si="14"/>
        <v>0</v>
      </c>
      <c r="BB320" s="9"/>
    </row>
    <row r="321" spans="1:54" hidden="1" x14ac:dyDescent="0.35">
      <c r="A321" s="54"/>
      <c r="B321" s="174" t="s">
        <v>210</v>
      </c>
      <c r="C321" s="87"/>
      <c r="D321" s="199"/>
      <c r="E321" s="197">
        <v>0</v>
      </c>
      <c r="F321" s="177">
        <v>0</v>
      </c>
      <c r="G321" s="177">
        <v>0</v>
      </c>
      <c r="H321" s="87"/>
      <c r="I321" s="176"/>
      <c r="J321" s="197"/>
      <c r="K321" s="198"/>
      <c r="L321" s="146">
        <v>0</v>
      </c>
      <c r="M321" s="178"/>
      <c r="N321" s="176"/>
      <c r="O321" s="197"/>
      <c r="P321" s="146"/>
      <c r="Q321" s="146">
        <v>0</v>
      </c>
      <c r="R321" s="30"/>
      <c r="S321" s="199"/>
      <c r="T321" s="197"/>
      <c r="U321" s="146"/>
      <c r="V321" s="146"/>
      <c r="W321" s="30"/>
      <c r="X321" s="199"/>
      <c r="Y321" s="197"/>
      <c r="Z321" s="146"/>
      <c r="AA321" s="146"/>
      <c r="AB321" s="87"/>
      <c r="AC321" s="90"/>
      <c r="AD321" s="176"/>
      <c r="AE321" s="197"/>
      <c r="AF321" s="198"/>
      <c r="AG321" s="146"/>
      <c r="AH321" s="200"/>
      <c r="AI321" s="176"/>
      <c r="AJ321" s="197"/>
      <c r="AK321" s="146"/>
      <c r="AL321" s="146"/>
      <c r="AM321" s="32"/>
      <c r="AN321" s="199"/>
      <c r="AO321" s="197"/>
      <c r="AP321" s="146"/>
      <c r="AQ321" s="146"/>
      <c r="AR321" s="32"/>
      <c r="AS321" s="199"/>
      <c r="AT321" s="197"/>
      <c r="AU321" s="146"/>
      <c r="AV321" s="146"/>
      <c r="AW321" s="30"/>
      <c r="AX321" s="199"/>
      <c r="AY321" s="197"/>
      <c r="AZ321" s="177"/>
      <c r="BA321" s="56">
        <f t="shared" si="14"/>
        <v>0</v>
      </c>
      <c r="BB321" s="9"/>
    </row>
    <row r="322" spans="1:54" ht="29" x14ac:dyDescent="0.35">
      <c r="A322" s="54"/>
      <c r="B322" s="55" t="s">
        <v>277</v>
      </c>
      <c r="C322" s="87" t="s">
        <v>201</v>
      </c>
      <c r="D322" s="176" t="s">
        <v>278</v>
      </c>
      <c r="E322" s="197">
        <v>90</v>
      </c>
      <c r="F322" s="177">
        <v>3658.776413697849</v>
      </c>
      <c r="G322" s="177">
        <v>329289.87723280641</v>
      </c>
      <c r="H322" s="87"/>
      <c r="I322" s="176" t="s">
        <v>278</v>
      </c>
      <c r="J322" s="197">
        <v>40</v>
      </c>
      <c r="K322" s="276">
        <v>3658.776413697849</v>
      </c>
      <c r="L322" s="146">
        <v>146351.05654791396</v>
      </c>
      <c r="M322" s="178"/>
      <c r="N322" s="176" t="s">
        <v>278</v>
      </c>
      <c r="O322" s="197">
        <v>50</v>
      </c>
      <c r="P322" s="278">
        <v>3658.776413697849</v>
      </c>
      <c r="Q322" s="279">
        <v>182938.82068489245</v>
      </c>
      <c r="R322" s="30"/>
      <c r="S322" s="176"/>
      <c r="T322" s="197"/>
      <c r="U322" s="278"/>
      <c r="V322" s="146">
        <v>0</v>
      </c>
      <c r="W322" s="30"/>
      <c r="X322" s="199"/>
      <c r="Y322" s="197"/>
      <c r="Z322" s="146"/>
      <c r="AA322" s="146"/>
      <c r="AB322" s="87"/>
      <c r="AC322" s="90"/>
      <c r="AD322" s="176"/>
      <c r="AE322" s="197"/>
      <c r="AF322" s="276"/>
      <c r="AG322" s="146"/>
      <c r="AH322" s="200"/>
      <c r="AI322" s="176"/>
      <c r="AJ322" s="197"/>
      <c r="AK322" s="278"/>
      <c r="AL322" s="279"/>
      <c r="AM322" s="32"/>
      <c r="AN322" s="176"/>
      <c r="AO322" s="197"/>
      <c r="AP322" s="278"/>
      <c r="AQ322" s="146"/>
      <c r="AR322" s="32"/>
      <c r="AS322" s="199"/>
      <c r="AT322" s="197"/>
      <c r="AU322" s="146"/>
      <c r="AV322" s="146"/>
      <c r="AW322" s="30"/>
      <c r="AX322" s="176"/>
      <c r="AY322" s="197"/>
      <c r="AZ322" s="177"/>
      <c r="BA322" s="56">
        <f t="shared" si="14"/>
        <v>0</v>
      </c>
      <c r="BB322" s="9"/>
    </row>
    <row r="323" spans="1:54" hidden="1" x14ac:dyDescent="0.35">
      <c r="A323" s="54"/>
      <c r="B323" s="174" t="s">
        <v>246</v>
      </c>
      <c r="C323" s="87"/>
      <c r="D323" s="199"/>
      <c r="E323" s="197">
        <v>0</v>
      </c>
      <c r="F323" s="177">
        <v>0</v>
      </c>
      <c r="G323" s="177">
        <v>0</v>
      </c>
      <c r="H323" s="87"/>
      <c r="I323" s="199"/>
      <c r="J323" s="197"/>
      <c r="K323" s="198"/>
      <c r="L323" s="146">
        <v>0</v>
      </c>
      <c r="M323" s="178"/>
      <c r="N323" s="199"/>
      <c r="O323" s="197"/>
      <c r="P323" s="146"/>
      <c r="Q323" s="146"/>
      <c r="R323" s="30"/>
      <c r="S323" s="199"/>
      <c r="T323" s="197"/>
      <c r="U323" s="146"/>
      <c r="V323" s="146"/>
      <c r="W323" s="30"/>
      <c r="X323" s="199"/>
      <c r="Y323" s="197"/>
      <c r="Z323" s="146"/>
      <c r="AA323" s="146"/>
      <c r="AB323" s="87"/>
      <c r="AC323" s="90"/>
      <c r="AD323" s="199"/>
      <c r="AE323" s="197"/>
      <c r="AF323" s="198"/>
      <c r="AG323" s="146"/>
      <c r="AH323" s="200"/>
      <c r="AI323" s="199"/>
      <c r="AJ323" s="197"/>
      <c r="AK323" s="146"/>
      <c r="AL323" s="146"/>
      <c r="AM323" s="32"/>
      <c r="AN323" s="199"/>
      <c r="AO323" s="197"/>
      <c r="AP323" s="146"/>
      <c r="AQ323" s="146"/>
      <c r="AR323" s="32"/>
      <c r="AS323" s="199"/>
      <c r="AT323" s="197"/>
      <c r="AU323" s="146"/>
      <c r="AV323" s="146"/>
      <c r="AW323" s="30"/>
      <c r="AX323" s="199"/>
      <c r="AY323" s="197"/>
      <c r="AZ323" s="177"/>
      <c r="BA323" s="56">
        <f t="shared" si="14"/>
        <v>0</v>
      </c>
      <c r="BB323" s="9"/>
    </row>
    <row r="324" spans="1:54" x14ac:dyDescent="0.35">
      <c r="A324" s="54"/>
      <c r="B324" s="188" t="s">
        <v>279</v>
      </c>
      <c r="C324" s="189"/>
      <c r="D324" s="214"/>
      <c r="E324" s="203">
        <v>0</v>
      </c>
      <c r="F324" s="204">
        <v>0</v>
      </c>
      <c r="G324" s="204">
        <f>G328</f>
        <v>289653.13275107974</v>
      </c>
      <c r="H324" s="189"/>
      <c r="I324" s="214"/>
      <c r="J324" s="203"/>
      <c r="K324" s="280"/>
      <c r="L324" s="206">
        <f>L328</f>
        <v>60979.606894964156</v>
      </c>
      <c r="M324" s="207"/>
      <c r="N324" s="214"/>
      <c r="O324" s="203"/>
      <c r="P324" s="281"/>
      <c r="Q324" s="206">
        <f>Q328</f>
        <v>114336.76292805778</v>
      </c>
      <c r="R324" s="194"/>
      <c r="S324" s="214"/>
      <c r="T324" s="203"/>
      <c r="U324" s="281"/>
      <c r="V324" s="206">
        <f>V328</f>
        <v>114336.76292805778</v>
      </c>
      <c r="W324" s="194"/>
      <c r="X324" s="214"/>
      <c r="Y324" s="203"/>
      <c r="Z324" s="206"/>
      <c r="AA324" s="206">
        <f>AA328</f>
        <v>0</v>
      </c>
      <c r="AB324" s="189"/>
      <c r="AC324" s="195"/>
      <c r="AD324" s="214"/>
      <c r="AE324" s="203"/>
      <c r="AF324" s="280"/>
      <c r="AG324" s="206">
        <v>0</v>
      </c>
      <c r="AH324" s="209"/>
      <c r="AI324" s="214"/>
      <c r="AJ324" s="203"/>
      <c r="AK324" s="281"/>
      <c r="AL324" s="206"/>
      <c r="AM324" s="196"/>
      <c r="AN324" s="214"/>
      <c r="AO324" s="203"/>
      <c r="AP324" s="281"/>
      <c r="AQ324" s="206"/>
      <c r="AR324" s="196"/>
      <c r="AS324" s="214"/>
      <c r="AT324" s="203"/>
      <c r="AU324" s="206"/>
      <c r="AV324" s="206"/>
      <c r="AW324" s="194"/>
      <c r="AX324" s="214"/>
      <c r="AY324" s="203"/>
      <c r="AZ324" s="204"/>
      <c r="BA324" s="193">
        <f t="shared" si="14"/>
        <v>0</v>
      </c>
      <c r="BB324" s="9"/>
    </row>
    <row r="325" spans="1:54" hidden="1" x14ac:dyDescent="0.35">
      <c r="A325" s="54"/>
      <c r="B325" s="210" t="s">
        <v>202</v>
      </c>
      <c r="C325" s="42"/>
      <c r="D325" s="199"/>
      <c r="E325" s="197"/>
      <c r="F325" s="146"/>
      <c r="G325" s="146"/>
      <c r="H325" s="42"/>
      <c r="I325" s="199"/>
      <c r="J325" s="197"/>
      <c r="K325" s="198"/>
      <c r="L325" s="146"/>
      <c r="M325" s="178"/>
      <c r="N325" s="199"/>
      <c r="O325" s="197"/>
      <c r="P325" s="146"/>
      <c r="Q325" s="146"/>
      <c r="R325" s="30"/>
      <c r="S325" s="199"/>
      <c r="T325" s="197"/>
      <c r="U325" s="146"/>
      <c r="V325" s="146"/>
      <c r="W325" s="30"/>
      <c r="X325" s="199"/>
      <c r="Y325" s="197"/>
      <c r="Z325" s="146"/>
      <c r="AA325" s="146"/>
      <c r="AB325" s="42"/>
      <c r="AC325" s="46"/>
      <c r="AD325" s="199"/>
      <c r="AE325" s="197"/>
      <c r="AF325" s="198"/>
      <c r="AG325" s="146"/>
      <c r="AH325" s="200"/>
      <c r="AI325" s="199"/>
      <c r="AJ325" s="197"/>
      <c r="AK325" s="146"/>
      <c r="AL325" s="146"/>
      <c r="AM325" s="32"/>
      <c r="AN325" s="199"/>
      <c r="AO325" s="197"/>
      <c r="AP325" s="146"/>
      <c r="AQ325" s="146"/>
      <c r="AR325" s="32"/>
      <c r="AS325" s="199"/>
      <c r="AT325" s="197"/>
      <c r="AU325" s="146"/>
      <c r="AV325" s="146"/>
      <c r="AW325" s="30"/>
      <c r="AX325" s="199"/>
      <c r="AY325" s="197"/>
      <c r="AZ325" s="146"/>
      <c r="BA325" s="56">
        <f t="shared" si="14"/>
        <v>0</v>
      </c>
      <c r="BB325" s="9"/>
    </row>
    <row r="326" spans="1:54" hidden="1" x14ac:dyDescent="0.35">
      <c r="A326" s="54"/>
      <c r="B326" s="55" t="s">
        <v>203</v>
      </c>
      <c r="C326" s="42"/>
      <c r="D326" s="199"/>
      <c r="E326" s="197">
        <v>0</v>
      </c>
      <c r="F326" s="177">
        <v>0</v>
      </c>
      <c r="G326" s="177">
        <v>0</v>
      </c>
      <c r="H326" s="42"/>
      <c r="I326" s="199"/>
      <c r="J326" s="197"/>
      <c r="K326" s="198"/>
      <c r="L326" s="146"/>
      <c r="M326" s="178"/>
      <c r="N326" s="199"/>
      <c r="O326" s="197"/>
      <c r="P326" s="146"/>
      <c r="Q326" s="146"/>
      <c r="R326" s="30"/>
      <c r="S326" s="199"/>
      <c r="T326" s="197"/>
      <c r="U326" s="146"/>
      <c r="V326" s="146"/>
      <c r="W326" s="30"/>
      <c r="X326" s="199"/>
      <c r="Y326" s="197"/>
      <c r="Z326" s="146"/>
      <c r="AA326" s="146"/>
      <c r="AB326" s="42"/>
      <c r="AC326" s="46"/>
      <c r="AD326" s="199"/>
      <c r="AE326" s="197"/>
      <c r="AF326" s="198"/>
      <c r="AG326" s="146"/>
      <c r="AH326" s="200"/>
      <c r="AI326" s="199"/>
      <c r="AJ326" s="197"/>
      <c r="AK326" s="146"/>
      <c r="AL326" s="146"/>
      <c r="AM326" s="32"/>
      <c r="AN326" s="199"/>
      <c r="AO326" s="197"/>
      <c r="AP326" s="146"/>
      <c r="AQ326" s="146"/>
      <c r="AR326" s="32"/>
      <c r="AS326" s="199"/>
      <c r="AT326" s="197"/>
      <c r="AU326" s="146"/>
      <c r="AV326" s="146"/>
      <c r="AW326" s="30"/>
      <c r="AX326" s="199"/>
      <c r="AY326" s="197"/>
      <c r="AZ326" s="177"/>
      <c r="BA326" s="56">
        <f t="shared" si="14"/>
        <v>0</v>
      </c>
      <c r="BB326" s="9"/>
    </row>
    <row r="327" spans="1:54" hidden="1" x14ac:dyDescent="0.35">
      <c r="A327" s="54"/>
      <c r="B327" s="174" t="s">
        <v>210</v>
      </c>
      <c r="C327" s="87"/>
      <c r="D327" s="199"/>
      <c r="E327" s="197">
        <v>0</v>
      </c>
      <c r="F327" s="177">
        <v>0</v>
      </c>
      <c r="G327" s="177">
        <v>0</v>
      </c>
      <c r="H327" s="87"/>
      <c r="I327" s="176"/>
      <c r="J327" s="197"/>
      <c r="K327" s="198"/>
      <c r="L327" s="146">
        <v>0</v>
      </c>
      <c r="M327" s="178"/>
      <c r="N327" s="176"/>
      <c r="O327" s="197"/>
      <c r="P327" s="146"/>
      <c r="Q327" s="146">
        <v>0</v>
      </c>
      <c r="R327" s="30"/>
      <c r="S327" s="176"/>
      <c r="T327" s="197"/>
      <c r="U327" s="146"/>
      <c r="V327" s="146"/>
      <c r="W327" s="30"/>
      <c r="X327" s="199"/>
      <c r="Y327" s="197"/>
      <c r="Z327" s="146"/>
      <c r="AA327" s="146"/>
      <c r="AB327" s="87"/>
      <c r="AC327" s="90"/>
      <c r="AD327" s="176"/>
      <c r="AE327" s="197"/>
      <c r="AF327" s="198"/>
      <c r="AG327" s="146"/>
      <c r="AH327" s="200"/>
      <c r="AI327" s="176"/>
      <c r="AJ327" s="197"/>
      <c r="AK327" s="146"/>
      <c r="AL327" s="146"/>
      <c r="AM327" s="32"/>
      <c r="AN327" s="176"/>
      <c r="AO327" s="197"/>
      <c r="AP327" s="146"/>
      <c r="AQ327" s="146"/>
      <c r="AR327" s="32"/>
      <c r="AS327" s="199"/>
      <c r="AT327" s="197"/>
      <c r="AU327" s="146"/>
      <c r="AV327" s="146"/>
      <c r="AW327" s="30"/>
      <c r="AX327" s="199"/>
      <c r="AY327" s="197"/>
      <c r="AZ327" s="177"/>
      <c r="BA327" s="56">
        <f t="shared" si="14"/>
        <v>0</v>
      </c>
      <c r="BB327" s="9"/>
    </row>
    <row r="328" spans="1:54" ht="29" x14ac:dyDescent="0.35">
      <c r="A328" s="54"/>
      <c r="B328" s="55" t="s">
        <v>280</v>
      </c>
      <c r="C328" s="87" t="s">
        <v>201</v>
      </c>
      <c r="D328" s="176" t="s">
        <v>278</v>
      </c>
      <c r="E328" s="197">
        <v>380</v>
      </c>
      <c r="F328" s="177">
        <v>762.24508618705192</v>
      </c>
      <c r="G328" s="177">
        <v>289653.13275107974</v>
      </c>
      <c r="H328" s="87"/>
      <c r="I328" s="176" t="s">
        <v>278</v>
      </c>
      <c r="J328" s="197">
        <v>80</v>
      </c>
      <c r="K328" s="276">
        <v>762.24508618705192</v>
      </c>
      <c r="L328" s="146">
        <v>60979.606894964156</v>
      </c>
      <c r="M328" s="178"/>
      <c r="N328" s="176" t="s">
        <v>278</v>
      </c>
      <c r="O328" s="197">
        <v>150</v>
      </c>
      <c r="P328" s="278">
        <v>762.24508618705192</v>
      </c>
      <c r="Q328" s="279">
        <v>114336.76292805778</v>
      </c>
      <c r="R328" s="30"/>
      <c r="S328" s="176" t="s">
        <v>278</v>
      </c>
      <c r="T328" s="197">
        <v>150</v>
      </c>
      <c r="U328" s="278">
        <v>762.24508618705192</v>
      </c>
      <c r="V328" s="146">
        <v>114336.76292805778</v>
      </c>
      <c r="W328" s="30"/>
      <c r="X328" s="199"/>
      <c r="Y328" s="197"/>
      <c r="Z328" s="146"/>
      <c r="AA328" s="146"/>
      <c r="AB328" s="87"/>
      <c r="AC328" s="90"/>
      <c r="AD328" s="176"/>
      <c r="AE328" s="197"/>
      <c r="AF328" s="276"/>
      <c r="AG328" s="146"/>
      <c r="AH328" s="200"/>
      <c r="AI328" s="176"/>
      <c r="AJ328" s="197"/>
      <c r="AK328" s="278"/>
      <c r="AL328" s="279"/>
      <c r="AM328" s="32"/>
      <c r="AN328" s="176"/>
      <c r="AO328" s="197"/>
      <c r="AP328" s="278"/>
      <c r="AQ328" s="146"/>
      <c r="AR328" s="32"/>
      <c r="AS328" s="199"/>
      <c r="AT328" s="197"/>
      <c r="AU328" s="146"/>
      <c r="AV328" s="146"/>
      <c r="AW328" s="30"/>
      <c r="AX328" s="176"/>
      <c r="AY328" s="197"/>
      <c r="AZ328" s="177"/>
      <c r="BA328" s="56">
        <f t="shared" si="14"/>
        <v>0</v>
      </c>
      <c r="BB328" s="9"/>
    </row>
    <row r="329" spans="1:54" hidden="1" x14ac:dyDescent="0.35">
      <c r="A329" s="54"/>
      <c r="B329" s="174" t="s">
        <v>246</v>
      </c>
      <c r="C329" s="87"/>
      <c r="D329" s="199"/>
      <c r="E329" s="197">
        <v>0</v>
      </c>
      <c r="F329" s="177">
        <v>0</v>
      </c>
      <c r="G329" s="177">
        <v>0</v>
      </c>
      <c r="H329" s="87"/>
      <c r="I329" s="199"/>
      <c r="J329" s="197"/>
      <c r="K329" s="198"/>
      <c r="L329" s="146">
        <v>0</v>
      </c>
      <c r="M329" s="178"/>
      <c r="N329" s="199"/>
      <c r="O329" s="197"/>
      <c r="P329" s="146"/>
      <c r="Q329" s="146"/>
      <c r="R329" s="30"/>
      <c r="S329" s="199"/>
      <c r="T329" s="197"/>
      <c r="U329" s="146"/>
      <c r="V329" s="146"/>
      <c r="W329" s="30"/>
      <c r="X329" s="199"/>
      <c r="Y329" s="197"/>
      <c r="Z329" s="146"/>
      <c r="AA329" s="146"/>
      <c r="AB329" s="87"/>
      <c r="AC329" s="90"/>
      <c r="AD329" s="199"/>
      <c r="AE329" s="197"/>
      <c r="AF329" s="198"/>
      <c r="AG329" s="146"/>
      <c r="AH329" s="200"/>
      <c r="AI329" s="199"/>
      <c r="AJ329" s="197"/>
      <c r="AK329" s="146"/>
      <c r="AL329" s="146"/>
      <c r="AM329" s="32"/>
      <c r="AN329" s="199"/>
      <c r="AO329" s="197"/>
      <c r="AP329" s="146"/>
      <c r="AQ329" s="146"/>
      <c r="AR329" s="32"/>
      <c r="AS329" s="199"/>
      <c r="AT329" s="197"/>
      <c r="AU329" s="146"/>
      <c r="AV329" s="146"/>
      <c r="AW329" s="30"/>
      <c r="AX329" s="199"/>
      <c r="AY329" s="197"/>
      <c r="AZ329" s="177"/>
      <c r="BA329" s="56">
        <f t="shared" si="14"/>
        <v>0</v>
      </c>
      <c r="BB329" s="9"/>
    </row>
    <row r="330" spans="1:54" x14ac:dyDescent="0.35">
      <c r="A330" s="54"/>
      <c r="B330" s="188" t="s">
        <v>281</v>
      </c>
      <c r="C330" s="189"/>
      <c r="D330" s="214"/>
      <c r="E330" s="203">
        <v>0</v>
      </c>
      <c r="F330" s="204">
        <v>53.4</v>
      </c>
      <c r="G330" s="204">
        <v>0</v>
      </c>
      <c r="H330" s="189"/>
      <c r="I330" s="214" t="s">
        <v>282</v>
      </c>
      <c r="J330" s="282"/>
      <c r="K330" s="283">
        <v>53.4</v>
      </c>
      <c r="L330" s="206">
        <v>0</v>
      </c>
      <c r="M330" s="207"/>
      <c r="N330" s="214"/>
      <c r="O330" s="203"/>
      <c r="P330" s="206"/>
      <c r="Q330" s="206"/>
      <c r="R330" s="194"/>
      <c r="S330" s="214"/>
      <c r="T330" s="203"/>
      <c r="U330" s="206"/>
      <c r="V330" s="206">
        <v>0</v>
      </c>
      <c r="W330" s="194"/>
      <c r="X330" s="214"/>
      <c r="Y330" s="203"/>
      <c r="Z330" s="206"/>
      <c r="AA330" s="206"/>
      <c r="AB330" s="189"/>
      <c r="AC330" s="195"/>
      <c r="AD330" s="214"/>
      <c r="AE330" s="282"/>
      <c r="AF330" s="283"/>
      <c r="AG330" s="206">
        <v>0</v>
      </c>
      <c r="AH330" s="209"/>
      <c r="AI330" s="214"/>
      <c r="AJ330" s="203"/>
      <c r="AK330" s="206"/>
      <c r="AL330" s="206"/>
      <c r="AM330" s="196"/>
      <c r="AN330" s="214"/>
      <c r="AO330" s="203"/>
      <c r="AP330" s="206"/>
      <c r="AQ330" s="206"/>
      <c r="AR330" s="196"/>
      <c r="AS330" s="214"/>
      <c r="AT330" s="203"/>
      <c r="AU330" s="206"/>
      <c r="AV330" s="206"/>
      <c r="AW330" s="194"/>
      <c r="AX330" s="214"/>
      <c r="AY330" s="203"/>
      <c r="AZ330" s="204"/>
      <c r="BA330" s="193">
        <f t="shared" si="14"/>
        <v>0</v>
      </c>
      <c r="BB330" s="9"/>
    </row>
    <row r="331" spans="1:54" x14ac:dyDescent="0.35">
      <c r="A331" s="54"/>
      <c r="B331" s="188" t="s">
        <v>283</v>
      </c>
      <c r="C331" s="189"/>
      <c r="D331" s="214"/>
      <c r="E331" s="203">
        <v>0</v>
      </c>
      <c r="F331" s="204">
        <v>0</v>
      </c>
      <c r="G331" s="204">
        <f>G336</f>
        <v>9146.9410342446226</v>
      </c>
      <c r="H331" s="189"/>
      <c r="I331" s="214"/>
      <c r="J331" s="227"/>
      <c r="K331" s="284"/>
      <c r="L331" s="206">
        <f>L336</f>
        <v>9146.9410342446226</v>
      </c>
      <c r="M331" s="207"/>
      <c r="N331" s="214"/>
      <c r="O331" s="203"/>
      <c r="P331" s="206"/>
      <c r="Q331" s="206">
        <f>Q336</f>
        <v>0</v>
      </c>
      <c r="R331" s="194"/>
      <c r="S331" s="214"/>
      <c r="T331" s="203"/>
      <c r="U331" s="206"/>
      <c r="V331" s="206">
        <f>V336</f>
        <v>0</v>
      </c>
      <c r="W331" s="194"/>
      <c r="X331" s="214"/>
      <c r="Y331" s="203"/>
      <c r="Z331" s="206"/>
      <c r="AA331" s="206">
        <f>AA336</f>
        <v>0</v>
      </c>
      <c r="AB331" s="189"/>
      <c r="AC331" s="195"/>
      <c r="AD331" s="214"/>
      <c r="AE331" s="227"/>
      <c r="AF331" s="284"/>
      <c r="AG331" s="206">
        <v>4441.1329999999998</v>
      </c>
      <c r="AH331" s="209"/>
      <c r="AI331" s="214"/>
      <c r="AJ331" s="203"/>
      <c r="AK331" s="206"/>
      <c r="AL331" s="206"/>
      <c r="AM331" s="196"/>
      <c r="AN331" s="214"/>
      <c r="AO331" s="203"/>
      <c r="AP331" s="206"/>
      <c r="AQ331" s="206"/>
      <c r="AR331" s="196"/>
      <c r="AS331" s="214"/>
      <c r="AT331" s="203"/>
      <c r="AU331" s="206"/>
      <c r="AV331" s="206"/>
      <c r="AW331" s="194"/>
      <c r="AX331" s="214"/>
      <c r="AY331" s="203"/>
      <c r="AZ331" s="204"/>
      <c r="BA331" s="193">
        <f t="shared" si="14"/>
        <v>4441.1329999999998</v>
      </c>
      <c r="BB331" s="9"/>
    </row>
    <row r="332" spans="1:54" hidden="1" x14ac:dyDescent="0.35">
      <c r="A332" s="54"/>
      <c r="B332" s="210" t="s">
        <v>202</v>
      </c>
      <c r="C332" s="42"/>
      <c r="D332" s="199"/>
      <c r="E332" s="197"/>
      <c r="F332" s="146"/>
      <c r="G332" s="146"/>
      <c r="H332" s="42"/>
      <c r="I332" s="199"/>
      <c r="J332" s="197"/>
      <c r="K332" s="198"/>
      <c r="L332" s="146"/>
      <c r="M332" s="178"/>
      <c r="N332" s="199"/>
      <c r="O332" s="197"/>
      <c r="P332" s="146"/>
      <c r="Q332" s="146"/>
      <c r="R332" s="30"/>
      <c r="S332" s="199"/>
      <c r="T332" s="197"/>
      <c r="U332" s="146"/>
      <c r="V332" s="146"/>
      <c r="W332" s="30"/>
      <c r="X332" s="199"/>
      <c r="Y332" s="197"/>
      <c r="Z332" s="146"/>
      <c r="AA332" s="146"/>
      <c r="AB332" s="42"/>
      <c r="AC332" s="46"/>
      <c r="AD332" s="199"/>
      <c r="AE332" s="197"/>
      <c r="AF332" s="198"/>
      <c r="AG332" s="146"/>
      <c r="AH332" s="200"/>
      <c r="AI332" s="199"/>
      <c r="AJ332" s="197"/>
      <c r="AK332" s="146"/>
      <c r="AL332" s="146"/>
      <c r="AM332" s="32"/>
      <c r="AN332" s="199"/>
      <c r="AO332" s="197"/>
      <c r="AP332" s="146"/>
      <c r="AQ332" s="146"/>
      <c r="AR332" s="32"/>
      <c r="AS332" s="199"/>
      <c r="AT332" s="197"/>
      <c r="AU332" s="146"/>
      <c r="AV332" s="146"/>
      <c r="AW332" s="30"/>
      <c r="AX332" s="199"/>
      <c r="AY332" s="197"/>
      <c r="AZ332" s="146"/>
      <c r="BA332" s="56">
        <f t="shared" si="14"/>
        <v>0</v>
      </c>
      <c r="BB332" s="9"/>
    </row>
    <row r="333" spans="1:54" hidden="1" x14ac:dyDescent="0.35">
      <c r="A333" s="54"/>
      <c r="B333" s="55" t="s">
        <v>203</v>
      </c>
      <c r="C333" s="42"/>
      <c r="D333" s="199"/>
      <c r="E333" s="197">
        <v>0</v>
      </c>
      <c r="F333" s="177">
        <v>0</v>
      </c>
      <c r="G333" s="177">
        <v>0</v>
      </c>
      <c r="H333" s="42"/>
      <c r="I333" s="199"/>
      <c r="J333" s="197"/>
      <c r="K333" s="198"/>
      <c r="L333" s="146"/>
      <c r="M333" s="178"/>
      <c r="N333" s="199"/>
      <c r="O333" s="197"/>
      <c r="P333" s="146"/>
      <c r="Q333" s="146"/>
      <c r="R333" s="30"/>
      <c r="S333" s="199"/>
      <c r="T333" s="197"/>
      <c r="U333" s="146"/>
      <c r="V333" s="146"/>
      <c r="W333" s="30"/>
      <c r="X333" s="199"/>
      <c r="Y333" s="197"/>
      <c r="Z333" s="146"/>
      <c r="AA333" s="146"/>
      <c r="AB333" s="42"/>
      <c r="AC333" s="46"/>
      <c r="AD333" s="199"/>
      <c r="AE333" s="197"/>
      <c r="AF333" s="198"/>
      <c r="AG333" s="146"/>
      <c r="AH333" s="200"/>
      <c r="AI333" s="199"/>
      <c r="AJ333" s="197"/>
      <c r="AK333" s="146"/>
      <c r="AL333" s="146"/>
      <c r="AM333" s="32"/>
      <c r="AN333" s="199"/>
      <c r="AO333" s="197"/>
      <c r="AP333" s="146"/>
      <c r="AQ333" s="146"/>
      <c r="AR333" s="32"/>
      <c r="AS333" s="199"/>
      <c r="AT333" s="197"/>
      <c r="AU333" s="146"/>
      <c r="AV333" s="146"/>
      <c r="AW333" s="30"/>
      <c r="AX333" s="199"/>
      <c r="AY333" s="197"/>
      <c r="AZ333" s="177"/>
      <c r="BA333" s="56">
        <f t="shared" si="14"/>
        <v>0</v>
      </c>
      <c r="BB333" s="9"/>
    </row>
    <row r="334" spans="1:54" hidden="1" x14ac:dyDescent="0.35">
      <c r="A334" s="54"/>
      <c r="B334" s="174" t="s">
        <v>210</v>
      </c>
      <c r="C334" s="87"/>
      <c r="D334" s="199"/>
      <c r="E334" s="197">
        <v>0</v>
      </c>
      <c r="F334" s="177">
        <v>0</v>
      </c>
      <c r="G334" s="177">
        <v>0</v>
      </c>
      <c r="H334" s="87"/>
      <c r="I334" s="176"/>
      <c r="J334" s="197"/>
      <c r="K334" s="198"/>
      <c r="L334" s="146"/>
      <c r="M334" s="178"/>
      <c r="N334" s="176"/>
      <c r="O334" s="197"/>
      <c r="P334" s="146"/>
      <c r="Q334" s="146">
        <v>0</v>
      </c>
      <c r="R334" s="30"/>
      <c r="S334" s="199"/>
      <c r="T334" s="197"/>
      <c r="U334" s="146"/>
      <c r="V334" s="146"/>
      <c r="W334" s="30"/>
      <c r="X334" s="199"/>
      <c r="Y334" s="197"/>
      <c r="Z334" s="146"/>
      <c r="AA334" s="146"/>
      <c r="AB334" s="87"/>
      <c r="AC334" s="90"/>
      <c r="AD334" s="176"/>
      <c r="AE334" s="197"/>
      <c r="AF334" s="198"/>
      <c r="AG334" s="146"/>
      <c r="AH334" s="200"/>
      <c r="AI334" s="176"/>
      <c r="AJ334" s="197"/>
      <c r="AK334" s="146"/>
      <c r="AL334" s="146"/>
      <c r="AM334" s="32"/>
      <c r="AN334" s="199"/>
      <c r="AO334" s="197"/>
      <c r="AP334" s="146"/>
      <c r="AQ334" s="146"/>
      <c r="AR334" s="32"/>
      <c r="AS334" s="199"/>
      <c r="AT334" s="197"/>
      <c r="AU334" s="146"/>
      <c r="AV334" s="146"/>
      <c r="AW334" s="30"/>
      <c r="AX334" s="199"/>
      <c r="AY334" s="197"/>
      <c r="AZ334" s="177"/>
      <c r="BA334" s="56">
        <f t="shared" si="14"/>
        <v>0</v>
      </c>
      <c r="BB334" s="9"/>
    </row>
    <row r="335" spans="1:54" hidden="1" x14ac:dyDescent="0.35">
      <c r="A335" s="54"/>
      <c r="B335" s="55" t="s">
        <v>220</v>
      </c>
      <c r="C335" s="216"/>
      <c r="D335" s="199"/>
      <c r="E335" s="197">
        <v>0</v>
      </c>
      <c r="F335" s="177">
        <v>0</v>
      </c>
      <c r="G335" s="177">
        <v>0</v>
      </c>
      <c r="H335" s="216"/>
      <c r="I335" s="176"/>
      <c r="J335" s="285"/>
      <c r="K335" s="286"/>
      <c r="L335" s="146"/>
      <c r="M335" s="178"/>
      <c r="N335" s="176"/>
      <c r="O335" s="197"/>
      <c r="P335" s="278"/>
      <c r="Q335" s="146">
        <v>0</v>
      </c>
      <c r="R335" s="30"/>
      <c r="S335" s="199"/>
      <c r="T335" s="197"/>
      <c r="U335" s="146"/>
      <c r="V335" s="146"/>
      <c r="W335" s="30"/>
      <c r="X335" s="199"/>
      <c r="Y335" s="197"/>
      <c r="Z335" s="146"/>
      <c r="AA335" s="146"/>
      <c r="AB335" s="216"/>
      <c r="AC335" s="218"/>
      <c r="AD335" s="176"/>
      <c r="AE335" s="285"/>
      <c r="AF335" s="286"/>
      <c r="AG335" s="146"/>
      <c r="AH335" s="200"/>
      <c r="AI335" s="176"/>
      <c r="AJ335" s="197"/>
      <c r="AK335" s="278"/>
      <c r="AL335" s="146"/>
      <c r="AM335" s="32"/>
      <c r="AN335" s="199"/>
      <c r="AO335" s="197"/>
      <c r="AP335" s="146"/>
      <c r="AQ335" s="146"/>
      <c r="AR335" s="32"/>
      <c r="AS335" s="199"/>
      <c r="AT335" s="197"/>
      <c r="AU335" s="146"/>
      <c r="AV335" s="146"/>
      <c r="AW335" s="30"/>
      <c r="AX335" s="199"/>
      <c r="AY335" s="197"/>
      <c r="AZ335" s="177"/>
      <c r="BA335" s="56">
        <f t="shared" si="14"/>
        <v>0</v>
      </c>
      <c r="BB335" s="9"/>
    </row>
    <row r="336" spans="1:54" x14ac:dyDescent="0.35">
      <c r="A336" s="54"/>
      <c r="B336" s="174" t="s">
        <v>221</v>
      </c>
      <c r="C336" s="216" t="s">
        <v>27</v>
      </c>
      <c r="D336" s="176" t="s">
        <v>222</v>
      </c>
      <c r="E336" s="197">
        <v>1</v>
      </c>
      <c r="F336" s="177">
        <v>9146.9410342446226</v>
      </c>
      <c r="G336" s="177">
        <v>9146.9410342446226</v>
      </c>
      <c r="H336" s="216"/>
      <c r="I336" s="176" t="s">
        <v>222</v>
      </c>
      <c r="J336" s="285">
        <v>1</v>
      </c>
      <c r="K336" s="287">
        <v>9146.9410342446226</v>
      </c>
      <c r="L336" s="146">
        <v>9146.9410342446226</v>
      </c>
      <c r="M336" s="178"/>
      <c r="N336" s="199"/>
      <c r="O336" s="197"/>
      <c r="P336" s="146"/>
      <c r="Q336" s="146"/>
      <c r="R336" s="30"/>
      <c r="S336" s="199"/>
      <c r="T336" s="197"/>
      <c r="U336" s="146"/>
      <c r="V336" s="146"/>
      <c r="W336" s="30"/>
      <c r="X336" s="199"/>
      <c r="Y336" s="197"/>
      <c r="Z336" s="146"/>
      <c r="AA336" s="146"/>
      <c r="AB336" s="216"/>
      <c r="AC336" s="218"/>
      <c r="AD336" s="176"/>
      <c r="AE336" s="285"/>
      <c r="AF336" s="287"/>
      <c r="AG336" s="146"/>
      <c r="AH336" s="200"/>
      <c r="AI336" s="199"/>
      <c r="AJ336" s="197"/>
      <c r="AK336" s="146"/>
      <c r="AL336" s="146"/>
      <c r="AM336" s="32"/>
      <c r="AN336" s="199"/>
      <c r="AO336" s="197"/>
      <c r="AP336" s="146"/>
      <c r="AQ336" s="146"/>
      <c r="AR336" s="32"/>
      <c r="AS336" s="199"/>
      <c r="AT336" s="197"/>
      <c r="AU336" s="146"/>
      <c r="AV336" s="146"/>
      <c r="AW336" s="30"/>
      <c r="AX336" s="176"/>
      <c r="AY336" s="197"/>
      <c r="AZ336" s="177"/>
      <c r="BA336" s="56">
        <f t="shared" si="14"/>
        <v>0</v>
      </c>
      <c r="BB336" s="9"/>
    </row>
    <row r="337" spans="1:54" ht="15.75" customHeight="1" x14ac:dyDescent="0.35">
      <c r="A337" s="54"/>
      <c r="B337" s="188" t="s">
        <v>284</v>
      </c>
      <c r="C337" s="189"/>
      <c r="D337" s="214" t="s">
        <v>285</v>
      </c>
      <c r="E337" s="203">
        <v>0</v>
      </c>
      <c r="F337" s="204">
        <v>0</v>
      </c>
      <c r="G337" s="204">
        <v>0</v>
      </c>
      <c r="H337" s="189"/>
      <c r="I337" s="214" t="s">
        <v>285</v>
      </c>
      <c r="J337" s="282">
        <v>0</v>
      </c>
      <c r="K337" s="283">
        <v>0</v>
      </c>
      <c r="L337" s="206">
        <v>0</v>
      </c>
      <c r="M337" s="207"/>
      <c r="N337" s="214" t="s">
        <v>285</v>
      </c>
      <c r="O337" s="203"/>
      <c r="P337" s="206"/>
      <c r="Q337" s="206">
        <v>0</v>
      </c>
      <c r="R337" s="194"/>
      <c r="S337" s="214" t="s">
        <v>285</v>
      </c>
      <c r="T337" s="203"/>
      <c r="U337" s="206"/>
      <c r="V337" s="206">
        <v>0</v>
      </c>
      <c r="W337" s="194"/>
      <c r="X337" s="214" t="s">
        <v>285</v>
      </c>
      <c r="Y337" s="203"/>
      <c r="Z337" s="206"/>
      <c r="AA337" s="206">
        <v>0</v>
      </c>
      <c r="AB337" s="189"/>
      <c r="AC337" s="195"/>
      <c r="AD337" s="214"/>
      <c r="AE337" s="282"/>
      <c r="AF337" s="283"/>
      <c r="AG337" s="206">
        <v>0</v>
      </c>
      <c r="AH337" s="209"/>
      <c r="AI337" s="214"/>
      <c r="AJ337" s="203"/>
      <c r="AK337" s="206"/>
      <c r="AL337" s="206"/>
      <c r="AM337" s="196"/>
      <c r="AN337" s="214"/>
      <c r="AO337" s="203"/>
      <c r="AP337" s="206"/>
      <c r="AQ337" s="206"/>
      <c r="AR337" s="196"/>
      <c r="AS337" s="214"/>
      <c r="AT337" s="203"/>
      <c r="AU337" s="206"/>
      <c r="AV337" s="206"/>
      <c r="AW337" s="194"/>
      <c r="AX337" s="214"/>
      <c r="AY337" s="203"/>
      <c r="AZ337" s="204"/>
      <c r="BA337" s="193">
        <f t="shared" si="14"/>
        <v>0</v>
      </c>
      <c r="BB337" s="9"/>
    </row>
    <row r="338" spans="1:54" ht="37.5" customHeight="1" x14ac:dyDescent="0.35">
      <c r="A338" s="54"/>
      <c r="B338" s="288" t="s">
        <v>286</v>
      </c>
      <c r="C338" s="189"/>
      <c r="D338" s="214"/>
      <c r="E338" s="203">
        <v>0</v>
      </c>
      <c r="F338" s="204">
        <v>0</v>
      </c>
      <c r="G338" s="204"/>
      <c r="H338" s="189"/>
      <c r="I338" s="214"/>
      <c r="J338" s="227"/>
      <c r="K338" s="284"/>
      <c r="L338" s="206"/>
      <c r="M338" s="207"/>
      <c r="N338" s="214"/>
      <c r="O338" s="203"/>
      <c r="P338" s="206"/>
      <c r="Q338" s="206"/>
      <c r="R338" s="194"/>
      <c r="S338" s="214"/>
      <c r="T338" s="203"/>
      <c r="U338" s="206"/>
      <c r="V338" s="206"/>
      <c r="W338" s="194"/>
      <c r="X338" s="214"/>
      <c r="Y338" s="203"/>
      <c r="Z338" s="206"/>
      <c r="AA338" s="206"/>
      <c r="AB338" s="189"/>
      <c r="AC338" s="195"/>
      <c r="AD338" s="214"/>
      <c r="AE338" s="227"/>
      <c r="AF338" s="284"/>
      <c r="AG338" s="206">
        <v>152637.728</v>
      </c>
      <c r="AH338" s="209"/>
      <c r="AI338" s="214"/>
      <c r="AJ338" s="203"/>
      <c r="AK338" s="206"/>
      <c r="AL338" s="206"/>
      <c r="AM338" s="196"/>
      <c r="AN338" s="214"/>
      <c r="AO338" s="203"/>
      <c r="AP338" s="206"/>
      <c r="AQ338" s="206"/>
      <c r="AR338" s="196"/>
      <c r="AS338" s="214"/>
      <c r="AT338" s="203"/>
      <c r="AU338" s="206"/>
      <c r="AV338" s="206"/>
      <c r="AW338" s="194"/>
      <c r="AX338" s="214"/>
      <c r="AY338" s="203"/>
      <c r="AZ338" s="204"/>
      <c r="BA338" s="193">
        <f t="shared" si="14"/>
        <v>152637.728</v>
      </c>
      <c r="BB338" s="9"/>
    </row>
    <row r="339" spans="1:54" x14ac:dyDescent="0.35">
      <c r="A339" s="54"/>
      <c r="B339" s="188" t="s">
        <v>287</v>
      </c>
      <c r="C339" s="189"/>
      <c r="D339" s="214"/>
      <c r="E339" s="203">
        <v>0</v>
      </c>
      <c r="F339" s="204">
        <v>0</v>
      </c>
      <c r="G339" s="204">
        <f>SUM(G340:G344)</f>
        <v>484500</v>
      </c>
      <c r="H339" s="189"/>
      <c r="I339" s="214"/>
      <c r="J339" s="227"/>
      <c r="K339" s="284"/>
      <c r="L339" s="206">
        <f>SUM(L340:L344)</f>
        <v>56250</v>
      </c>
      <c r="M339" s="207"/>
      <c r="N339" s="214"/>
      <c r="O339" s="227"/>
      <c r="P339" s="289"/>
      <c r="Q339" s="206">
        <f>SUM(Q340:Q344)</f>
        <v>142750</v>
      </c>
      <c r="R339" s="194"/>
      <c r="S339" s="214"/>
      <c r="T339" s="227"/>
      <c r="U339" s="289"/>
      <c r="V339" s="206">
        <f>SUM(V340:V344)</f>
        <v>142750</v>
      </c>
      <c r="W339" s="194"/>
      <c r="X339" s="214"/>
      <c r="Y339" s="227"/>
      <c r="Z339" s="289"/>
      <c r="AA339" s="206">
        <f>SUM(AA340:AA344)</f>
        <v>142750</v>
      </c>
      <c r="AB339" s="189"/>
      <c r="AC339" s="195"/>
      <c r="AD339" s="214"/>
      <c r="AE339" s="227"/>
      <c r="AF339" s="284"/>
      <c r="AG339" s="206">
        <v>0</v>
      </c>
      <c r="AH339" s="209"/>
      <c r="AI339" s="214"/>
      <c r="AJ339" s="227"/>
      <c r="AK339" s="289"/>
      <c r="AL339" s="206"/>
      <c r="AM339" s="196"/>
      <c r="AN339" s="214"/>
      <c r="AO339" s="227"/>
      <c r="AP339" s="289"/>
      <c r="AQ339" s="206"/>
      <c r="AR339" s="196"/>
      <c r="AS339" s="214"/>
      <c r="AT339" s="227"/>
      <c r="AU339" s="289"/>
      <c r="AV339" s="206"/>
      <c r="AW339" s="194"/>
      <c r="AX339" s="214"/>
      <c r="AY339" s="203"/>
      <c r="AZ339" s="204"/>
      <c r="BA339" s="193">
        <f t="shared" si="14"/>
        <v>0</v>
      </c>
      <c r="BB339" s="9"/>
    </row>
    <row r="340" spans="1:54" x14ac:dyDescent="0.35">
      <c r="A340" s="54"/>
      <c r="B340" s="210" t="s">
        <v>202</v>
      </c>
      <c r="C340" s="42"/>
      <c r="D340" s="199"/>
      <c r="E340" s="197"/>
      <c r="F340" s="146"/>
      <c r="G340" s="146"/>
      <c r="H340" s="42"/>
      <c r="I340" s="199"/>
      <c r="J340" s="197"/>
      <c r="K340" s="198"/>
      <c r="L340" s="146"/>
      <c r="M340" s="178"/>
      <c r="N340" s="199"/>
      <c r="O340" s="197"/>
      <c r="P340" s="146"/>
      <c r="Q340" s="146"/>
      <c r="R340" s="30"/>
      <c r="S340" s="199"/>
      <c r="T340" s="197"/>
      <c r="U340" s="146"/>
      <c r="V340" s="146"/>
      <c r="W340" s="30"/>
      <c r="X340" s="199"/>
      <c r="Y340" s="197"/>
      <c r="Z340" s="146"/>
      <c r="AA340" s="146"/>
      <c r="AB340" s="42"/>
      <c r="AC340" s="46"/>
      <c r="AD340" s="199"/>
      <c r="AE340" s="197"/>
      <c r="AF340" s="198"/>
      <c r="AG340" s="146"/>
      <c r="AH340" s="200"/>
      <c r="AI340" s="199"/>
      <c r="AJ340" s="197"/>
      <c r="AK340" s="146"/>
      <c r="AL340" s="146"/>
      <c r="AM340" s="32"/>
      <c r="AN340" s="199"/>
      <c r="AO340" s="197"/>
      <c r="AP340" s="146"/>
      <c r="AQ340" s="146"/>
      <c r="AR340" s="32"/>
      <c r="AS340" s="199"/>
      <c r="AT340" s="197"/>
      <c r="AU340" s="146"/>
      <c r="AV340" s="146"/>
      <c r="AW340" s="30"/>
      <c r="AX340" s="199"/>
      <c r="AY340" s="197"/>
      <c r="AZ340" s="146"/>
      <c r="BA340" s="56">
        <f t="shared" si="14"/>
        <v>0</v>
      </c>
      <c r="BB340" s="9"/>
    </row>
    <row r="341" spans="1:54" x14ac:dyDescent="0.35">
      <c r="A341" s="54"/>
      <c r="B341" s="55" t="s">
        <v>203</v>
      </c>
      <c r="C341" s="42"/>
      <c r="D341" s="199"/>
      <c r="E341" s="197">
        <v>0</v>
      </c>
      <c r="F341" s="177">
        <v>0</v>
      </c>
      <c r="G341" s="177">
        <v>0</v>
      </c>
      <c r="H341" s="42"/>
      <c r="I341" s="199"/>
      <c r="J341" s="197"/>
      <c r="K341" s="198"/>
      <c r="L341" s="146"/>
      <c r="M341" s="178"/>
      <c r="N341" s="199"/>
      <c r="O341" s="197"/>
      <c r="P341" s="146"/>
      <c r="Q341" s="146"/>
      <c r="R341" s="30"/>
      <c r="S341" s="199"/>
      <c r="T341" s="197"/>
      <c r="U341" s="146"/>
      <c r="V341" s="146"/>
      <c r="W341" s="30"/>
      <c r="X341" s="199"/>
      <c r="Y341" s="197"/>
      <c r="Z341" s="146"/>
      <c r="AA341" s="146"/>
      <c r="AB341" s="42"/>
      <c r="AC341" s="46"/>
      <c r="AD341" s="199"/>
      <c r="AE341" s="197"/>
      <c r="AF341" s="198"/>
      <c r="AG341" s="146"/>
      <c r="AH341" s="200"/>
      <c r="AI341" s="199"/>
      <c r="AJ341" s="197"/>
      <c r="AK341" s="146"/>
      <c r="AL341" s="146"/>
      <c r="AM341" s="32"/>
      <c r="AN341" s="199"/>
      <c r="AO341" s="197"/>
      <c r="AP341" s="146"/>
      <c r="AQ341" s="146"/>
      <c r="AR341" s="32"/>
      <c r="AS341" s="199"/>
      <c r="AT341" s="197"/>
      <c r="AU341" s="146"/>
      <c r="AV341" s="146"/>
      <c r="AW341" s="30"/>
      <c r="AX341" s="199"/>
      <c r="AY341" s="197"/>
      <c r="AZ341" s="177"/>
      <c r="BA341" s="56">
        <f t="shared" si="14"/>
        <v>0</v>
      </c>
      <c r="BB341" s="9"/>
    </row>
    <row r="342" spans="1:54" x14ac:dyDescent="0.35">
      <c r="A342" s="54"/>
      <c r="B342" s="174" t="s">
        <v>210</v>
      </c>
      <c r="C342" s="87"/>
      <c r="D342" s="199"/>
      <c r="E342" s="197">
        <v>0</v>
      </c>
      <c r="F342" s="177">
        <v>0</v>
      </c>
      <c r="G342" s="177">
        <v>0</v>
      </c>
      <c r="H342" s="87"/>
      <c r="I342" s="176"/>
      <c r="J342" s="197"/>
      <c r="K342" s="198"/>
      <c r="L342" s="146">
        <v>0</v>
      </c>
      <c r="M342" s="178"/>
      <c r="N342" s="176"/>
      <c r="O342" s="197"/>
      <c r="P342" s="146"/>
      <c r="Q342" s="146">
        <v>0</v>
      </c>
      <c r="R342" s="30"/>
      <c r="S342" s="199"/>
      <c r="T342" s="197"/>
      <c r="U342" s="146"/>
      <c r="V342" s="146"/>
      <c r="W342" s="30"/>
      <c r="X342" s="199"/>
      <c r="Y342" s="197"/>
      <c r="Z342" s="146"/>
      <c r="AA342" s="146"/>
      <c r="AB342" s="87"/>
      <c r="AC342" s="90"/>
      <c r="AD342" s="176"/>
      <c r="AE342" s="197"/>
      <c r="AF342" s="198"/>
      <c r="AG342" s="146"/>
      <c r="AH342" s="200"/>
      <c r="AI342" s="176"/>
      <c r="AJ342" s="197"/>
      <c r="AK342" s="146"/>
      <c r="AL342" s="146"/>
      <c r="AM342" s="32"/>
      <c r="AN342" s="199"/>
      <c r="AO342" s="197"/>
      <c r="AP342" s="146"/>
      <c r="AQ342" s="146"/>
      <c r="AR342" s="32"/>
      <c r="AS342" s="199"/>
      <c r="AT342" s="197"/>
      <c r="AU342" s="146"/>
      <c r="AV342" s="146"/>
      <c r="AW342" s="30"/>
      <c r="AX342" s="199"/>
      <c r="AY342" s="197"/>
      <c r="AZ342" s="177"/>
      <c r="BA342" s="56">
        <f t="shared" si="14"/>
        <v>0</v>
      </c>
      <c r="BB342" s="9"/>
    </row>
    <row r="343" spans="1:54" x14ac:dyDescent="0.35">
      <c r="A343" s="54"/>
      <c r="B343" s="55" t="s">
        <v>288</v>
      </c>
      <c r="C343" s="290" t="s">
        <v>27</v>
      </c>
      <c r="D343" s="199"/>
      <c r="E343" s="197">
        <v>96900</v>
      </c>
      <c r="F343" s="177">
        <v>5</v>
      </c>
      <c r="G343" s="177">
        <v>484500</v>
      </c>
      <c r="H343" s="290"/>
      <c r="I343" s="176" t="s">
        <v>70</v>
      </c>
      <c r="J343" s="291">
        <v>11250</v>
      </c>
      <c r="K343" s="286">
        <v>5</v>
      </c>
      <c r="L343" s="212">
        <v>56250</v>
      </c>
      <c r="M343" s="178"/>
      <c r="N343" s="176" t="s">
        <v>285</v>
      </c>
      <c r="O343" s="291">
        <v>28550</v>
      </c>
      <c r="P343" s="292">
        <v>5</v>
      </c>
      <c r="Q343" s="293">
        <v>142750</v>
      </c>
      <c r="R343" s="30"/>
      <c r="S343" s="176" t="s">
        <v>285</v>
      </c>
      <c r="T343" s="291">
        <v>28550</v>
      </c>
      <c r="U343" s="292">
        <v>5</v>
      </c>
      <c r="V343" s="146">
        <v>142750</v>
      </c>
      <c r="W343" s="30"/>
      <c r="X343" s="176" t="s">
        <v>285</v>
      </c>
      <c r="Y343" s="291">
        <v>28550</v>
      </c>
      <c r="Z343" s="292">
        <v>5</v>
      </c>
      <c r="AA343" s="279">
        <v>142750</v>
      </c>
      <c r="AB343" s="290"/>
      <c r="AC343" s="218"/>
      <c r="AD343" s="176"/>
      <c r="AE343" s="291"/>
      <c r="AF343" s="286"/>
      <c r="AG343" s="212"/>
      <c r="AH343" s="200"/>
      <c r="AI343" s="176"/>
      <c r="AJ343" s="291"/>
      <c r="AK343" s="292"/>
      <c r="AL343" s="293"/>
      <c r="AM343" s="32"/>
      <c r="AN343" s="176"/>
      <c r="AO343" s="291"/>
      <c r="AP343" s="292"/>
      <c r="AQ343" s="146"/>
      <c r="AR343" s="32"/>
      <c r="AS343" s="176"/>
      <c r="AT343" s="291"/>
      <c r="AU343" s="292"/>
      <c r="AV343" s="279"/>
      <c r="AW343" s="30"/>
      <c r="AX343" s="199"/>
      <c r="AY343" s="197"/>
      <c r="AZ343" s="177"/>
      <c r="BA343" s="56">
        <f t="shared" si="14"/>
        <v>0</v>
      </c>
      <c r="BB343" s="9"/>
    </row>
    <row r="344" spans="1:54" x14ac:dyDescent="0.35">
      <c r="A344" s="54"/>
      <c r="B344" s="174" t="s">
        <v>246</v>
      </c>
      <c r="C344" s="87"/>
      <c r="D344" s="199"/>
      <c r="E344" s="197">
        <v>0</v>
      </c>
      <c r="F344" s="177">
        <v>0</v>
      </c>
      <c r="G344" s="177">
        <v>0</v>
      </c>
      <c r="H344" s="87"/>
      <c r="I344" s="199"/>
      <c r="J344" s="197"/>
      <c r="K344" s="198"/>
      <c r="L344" s="146">
        <v>0</v>
      </c>
      <c r="M344" s="178"/>
      <c r="N344" s="199"/>
      <c r="O344" s="197"/>
      <c r="P344" s="146"/>
      <c r="Q344" s="146"/>
      <c r="R344" s="30"/>
      <c r="S344" s="199"/>
      <c r="T344" s="197"/>
      <c r="U344" s="146"/>
      <c r="V344" s="146"/>
      <c r="W344" s="30"/>
      <c r="X344" s="199"/>
      <c r="Y344" s="197"/>
      <c r="Z344" s="146"/>
      <c r="AA344" s="146"/>
      <c r="AB344" s="87"/>
      <c r="AC344" s="90"/>
      <c r="AD344" s="199"/>
      <c r="AE344" s="197"/>
      <c r="AF344" s="198"/>
      <c r="AG344" s="146"/>
      <c r="AH344" s="200"/>
      <c r="AI344" s="199"/>
      <c r="AJ344" s="197"/>
      <c r="AK344" s="146"/>
      <c r="AL344" s="146"/>
      <c r="AM344" s="32"/>
      <c r="AN344" s="199"/>
      <c r="AO344" s="197"/>
      <c r="AP344" s="146"/>
      <c r="AQ344" s="146"/>
      <c r="AR344" s="32"/>
      <c r="AS344" s="199"/>
      <c r="AT344" s="197"/>
      <c r="AU344" s="146"/>
      <c r="AV344" s="146"/>
      <c r="AW344" s="30"/>
      <c r="AX344" s="199"/>
      <c r="AY344" s="197"/>
      <c r="AZ344" s="177"/>
      <c r="BA344" s="56">
        <f t="shared" si="14"/>
        <v>0</v>
      </c>
      <c r="BB344" s="9"/>
    </row>
    <row r="345" spans="1:54" ht="29" x14ac:dyDescent="0.35">
      <c r="A345" s="54"/>
      <c r="B345" s="188" t="s">
        <v>289</v>
      </c>
      <c r="C345" s="189"/>
      <c r="D345" s="214"/>
      <c r="E345" s="203">
        <v>0</v>
      </c>
      <c r="F345" s="204">
        <v>0</v>
      </c>
      <c r="G345" s="204">
        <f>G349</f>
        <v>148300</v>
      </c>
      <c r="H345" s="189"/>
      <c r="I345" s="214"/>
      <c r="J345" s="227"/>
      <c r="K345" s="284"/>
      <c r="L345" s="206">
        <f>L349</f>
        <v>29500</v>
      </c>
      <c r="M345" s="207"/>
      <c r="N345" s="214"/>
      <c r="O345" s="227"/>
      <c r="P345" s="289"/>
      <c r="Q345" s="206">
        <f>Q349</f>
        <v>38000</v>
      </c>
      <c r="R345" s="194"/>
      <c r="S345" s="214"/>
      <c r="T345" s="227"/>
      <c r="U345" s="289"/>
      <c r="V345" s="206">
        <f>V349</f>
        <v>40400</v>
      </c>
      <c r="W345" s="194"/>
      <c r="X345" s="214"/>
      <c r="Y345" s="227"/>
      <c r="Z345" s="289"/>
      <c r="AA345" s="206">
        <f>AA349</f>
        <v>40400</v>
      </c>
      <c r="AB345" s="189"/>
      <c r="AC345" s="195"/>
      <c r="AD345" s="214"/>
      <c r="AE345" s="227"/>
      <c r="AF345" s="284"/>
      <c r="AG345" s="206">
        <v>0</v>
      </c>
      <c r="AH345" s="209"/>
      <c r="AI345" s="214"/>
      <c r="AJ345" s="227"/>
      <c r="AK345" s="289"/>
      <c r="AL345" s="206"/>
      <c r="AM345" s="196"/>
      <c r="AN345" s="214"/>
      <c r="AO345" s="227"/>
      <c r="AP345" s="289"/>
      <c r="AQ345" s="206"/>
      <c r="AR345" s="196"/>
      <c r="AS345" s="214"/>
      <c r="AT345" s="227"/>
      <c r="AU345" s="289"/>
      <c r="AV345" s="206"/>
      <c r="AW345" s="194"/>
      <c r="AX345" s="214"/>
      <c r="AY345" s="203"/>
      <c r="AZ345" s="204"/>
      <c r="BA345" s="193">
        <f t="shared" si="14"/>
        <v>0</v>
      </c>
      <c r="BB345" s="9"/>
    </row>
    <row r="346" spans="1:54" hidden="1" x14ac:dyDescent="0.35">
      <c r="A346" s="54"/>
      <c r="B346" s="210" t="s">
        <v>202</v>
      </c>
      <c r="C346" s="42"/>
      <c r="D346" s="199"/>
      <c r="E346" s="197"/>
      <c r="F346" s="146"/>
      <c r="G346" s="146"/>
      <c r="H346" s="42"/>
      <c r="I346" s="199"/>
      <c r="J346" s="197"/>
      <c r="K346" s="198"/>
      <c r="L346" s="146"/>
      <c r="M346" s="178"/>
      <c r="N346" s="199"/>
      <c r="O346" s="197"/>
      <c r="P346" s="146"/>
      <c r="Q346" s="146"/>
      <c r="R346" s="30"/>
      <c r="S346" s="199"/>
      <c r="T346" s="197"/>
      <c r="U346" s="146"/>
      <c r="V346" s="146"/>
      <c r="W346" s="30"/>
      <c r="X346" s="199"/>
      <c r="Y346" s="197"/>
      <c r="Z346" s="146"/>
      <c r="AA346" s="146"/>
      <c r="AB346" s="42"/>
      <c r="AC346" s="46"/>
      <c r="AD346" s="199"/>
      <c r="AE346" s="197"/>
      <c r="AF346" s="198"/>
      <c r="AG346" s="146"/>
      <c r="AH346" s="200"/>
      <c r="AI346" s="199"/>
      <c r="AJ346" s="197"/>
      <c r="AK346" s="146"/>
      <c r="AL346" s="146"/>
      <c r="AM346" s="32"/>
      <c r="AN346" s="199"/>
      <c r="AO346" s="197"/>
      <c r="AP346" s="146"/>
      <c r="AQ346" s="146"/>
      <c r="AR346" s="32"/>
      <c r="AS346" s="199"/>
      <c r="AT346" s="197"/>
      <c r="AU346" s="146"/>
      <c r="AV346" s="146"/>
      <c r="AW346" s="30"/>
      <c r="AX346" s="199"/>
      <c r="AY346" s="197"/>
      <c r="AZ346" s="146"/>
      <c r="BA346" s="56">
        <f t="shared" si="14"/>
        <v>0</v>
      </c>
      <c r="BB346" s="9"/>
    </row>
    <row r="347" spans="1:54" hidden="1" x14ac:dyDescent="0.35">
      <c r="A347" s="54"/>
      <c r="B347" s="55" t="s">
        <v>203</v>
      </c>
      <c r="C347" s="42"/>
      <c r="D347" s="199"/>
      <c r="E347" s="197">
        <v>0</v>
      </c>
      <c r="F347" s="177">
        <v>0</v>
      </c>
      <c r="G347" s="177">
        <v>0</v>
      </c>
      <c r="H347" s="42"/>
      <c r="I347" s="199"/>
      <c r="J347" s="197"/>
      <c r="K347" s="198"/>
      <c r="L347" s="146"/>
      <c r="M347" s="178"/>
      <c r="N347" s="199"/>
      <c r="O347" s="197"/>
      <c r="P347" s="146"/>
      <c r="Q347" s="146"/>
      <c r="R347" s="30"/>
      <c r="S347" s="199"/>
      <c r="T347" s="197"/>
      <c r="U347" s="146"/>
      <c r="V347" s="146"/>
      <c r="W347" s="30"/>
      <c r="X347" s="199"/>
      <c r="Y347" s="197"/>
      <c r="Z347" s="146"/>
      <c r="AA347" s="146"/>
      <c r="AB347" s="42"/>
      <c r="AC347" s="46"/>
      <c r="AD347" s="199"/>
      <c r="AE347" s="197"/>
      <c r="AF347" s="198"/>
      <c r="AG347" s="146"/>
      <c r="AH347" s="200"/>
      <c r="AI347" s="199"/>
      <c r="AJ347" s="197"/>
      <c r="AK347" s="146"/>
      <c r="AL347" s="146"/>
      <c r="AM347" s="32"/>
      <c r="AN347" s="199"/>
      <c r="AO347" s="197"/>
      <c r="AP347" s="146"/>
      <c r="AQ347" s="146"/>
      <c r="AR347" s="32"/>
      <c r="AS347" s="199"/>
      <c r="AT347" s="197"/>
      <c r="AU347" s="146"/>
      <c r="AV347" s="146"/>
      <c r="AW347" s="30"/>
      <c r="AX347" s="199"/>
      <c r="AY347" s="197"/>
      <c r="AZ347" s="177"/>
      <c r="BA347" s="56">
        <f t="shared" si="14"/>
        <v>0</v>
      </c>
      <c r="BB347" s="9"/>
    </row>
    <row r="348" spans="1:54" hidden="1" x14ac:dyDescent="0.35">
      <c r="A348" s="54"/>
      <c r="B348" s="174" t="s">
        <v>210</v>
      </c>
      <c r="C348" s="87"/>
      <c r="D348" s="199"/>
      <c r="E348" s="197">
        <v>0</v>
      </c>
      <c r="F348" s="177">
        <v>0</v>
      </c>
      <c r="G348" s="177">
        <v>0</v>
      </c>
      <c r="H348" s="87"/>
      <c r="I348" s="176"/>
      <c r="J348" s="197"/>
      <c r="K348" s="198"/>
      <c r="L348" s="146">
        <v>0</v>
      </c>
      <c r="M348" s="178"/>
      <c r="N348" s="176"/>
      <c r="O348" s="197"/>
      <c r="P348" s="146"/>
      <c r="Q348" s="146">
        <v>0</v>
      </c>
      <c r="R348" s="30"/>
      <c r="S348" s="176"/>
      <c r="T348" s="197"/>
      <c r="U348" s="146"/>
      <c r="V348" s="146">
        <v>0</v>
      </c>
      <c r="W348" s="30"/>
      <c r="X348" s="176"/>
      <c r="Y348" s="197"/>
      <c r="Z348" s="146"/>
      <c r="AA348" s="146">
        <v>0</v>
      </c>
      <c r="AB348" s="87"/>
      <c r="AC348" s="90"/>
      <c r="AD348" s="176"/>
      <c r="AE348" s="197"/>
      <c r="AF348" s="198"/>
      <c r="AG348" s="146"/>
      <c r="AH348" s="200"/>
      <c r="AI348" s="176"/>
      <c r="AJ348" s="197"/>
      <c r="AK348" s="146"/>
      <c r="AL348" s="146"/>
      <c r="AM348" s="32"/>
      <c r="AN348" s="176"/>
      <c r="AO348" s="197"/>
      <c r="AP348" s="146"/>
      <c r="AQ348" s="146"/>
      <c r="AR348" s="32"/>
      <c r="AS348" s="176"/>
      <c r="AT348" s="197"/>
      <c r="AU348" s="146"/>
      <c r="AV348" s="146"/>
      <c r="AW348" s="30"/>
      <c r="AX348" s="199"/>
      <c r="AY348" s="197"/>
      <c r="AZ348" s="177"/>
      <c r="BA348" s="56">
        <f t="shared" si="14"/>
        <v>0</v>
      </c>
      <c r="BB348" s="9"/>
    </row>
    <row r="349" spans="1:54" x14ac:dyDescent="0.35">
      <c r="A349" s="54"/>
      <c r="B349" s="55" t="s">
        <v>290</v>
      </c>
      <c r="C349" s="290" t="s">
        <v>27</v>
      </c>
      <c r="D349" s="199"/>
      <c r="E349" s="197">
        <v>29660</v>
      </c>
      <c r="F349" s="177">
        <v>5</v>
      </c>
      <c r="G349" s="177">
        <v>148300</v>
      </c>
      <c r="H349" s="290"/>
      <c r="I349" s="176" t="s">
        <v>285</v>
      </c>
      <c r="J349" s="285">
        <v>5900</v>
      </c>
      <c r="K349" s="286">
        <v>5</v>
      </c>
      <c r="L349" s="212">
        <v>29500</v>
      </c>
      <c r="M349" s="178"/>
      <c r="N349" s="176" t="s">
        <v>285</v>
      </c>
      <c r="O349" s="285">
        <v>7600</v>
      </c>
      <c r="P349" s="292">
        <v>5</v>
      </c>
      <c r="Q349" s="293">
        <v>38000</v>
      </c>
      <c r="R349" s="30"/>
      <c r="S349" s="176" t="s">
        <v>70</v>
      </c>
      <c r="T349" s="285">
        <v>8080</v>
      </c>
      <c r="U349" s="292">
        <v>5</v>
      </c>
      <c r="V349" s="146">
        <v>40400</v>
      </c>
      <c r="W349" s="30"/>
      <c r="X349" s="176" t="s">
        <v>285</v>
      </c>
      <c r="Y349" s="285">
        <v>8080</v>
      </c>
      <c r="Z349" s="292">
        <v>5</v>
      </c>
      <c r="AA349" s="146">
        <v>40400</v>
      </c>
      <c r="AB349" s="290"/>
      <c r="AC349" s="218"/>
      <c r="AD349" s="176"/>
      <c r="AE349" s="285"/>
      <c r="AF349" s="286"/>
      <c r="AG349" s="212"/>
      <c r="AH349" s="200"/>
      <c r="AI349" s="176"/>
      <c r="AJ349" s="285"/>
      <c r="AK349" s="292"/>
      <c r="AL349" s="293"/>
      <c r="AM349" s="32"/>
      <c r="AN349" s="176"/>
      <c r="AO349" s="285"/>
      <c r="AP349" s="292"/>
      <c r="AQ349" s="146"/>
      <c r="AR349" s="32"/>
      <c r="AS349" s="176"/>
      <c r="AT349" s="285"/>
      <c r="AU349" s="292"/>
      <c r="AV349" s="146"/>
      <c r="AW349" s="30"/>
      <c r="AX349" s="199"/>
      <c r="AY349" s="197"/>
      <c r="AZ349" s="177"/>
      <c r="BA349" s="56">
        <f t="shared" si="14"/>
        <v>0</v>
      </c>
      <c r="BB349" s="9"/>
    </row>
    <row r="350" spans="1:54" hidden="1" x14ac:dyDescent="0.35">
      <c r="A350" s="54"/>
      <c r="B350" s="174" t="s">
        <v>246</v>
      </c>
      <c r="C350" s="87"/>
      <c r="D350" s="199"/>
      <c r="E350" s="197">
        <v>0</v>
      </c>
      <c r="F350" s="177">
        <v>0</v>
      </c>
      <c r="G350" s="177">
        <v>0</v>
      </c>
      <c r="H350" s="87"/>
      <c r="I350" s="199"/>
      <c r="J350" s="197"/>
      <c r="K350" s="198"/>
      <c r="L350" s="146">
        <v>0</v>
      </c>
      <c r="M350" s="178"/>
      <c r="N350" s="199"/>
      <c r="O350" s="197"/>
      <c r="P350" s="146"/>
      <c r="Q350" s="146"/>
      <c r="R350" s="30"/>
      <c r="S350" s="199"/>
      <c r="T350" s="197"/>
      <c r="U350" s="146"/>
      <c r="V350" s="146"/>
      <c r="W350" s="30"/>
      <c r="X350" s="199"/>
      <c r="Y350" s="197"/>
      <c r="Z350" s="146"/>
      <c r="AA350" s="146"/>
      <c r="AB350" s="87"/>
      <c r="AC350" s="90"/>
      <c r="AD350" s="199"/>
      <c r="AE350" s="197"/>
      <c r="AF350" s="198"/>
      <c r="AG350" s="146"/>
      <c r="AH350" s="200"/>
      <c r="AI350" s="199"/>
      <c r="AJ350" s="197"/>
      <c r="AK350" s="146"/>
      <c r="AL350" s="146"/>
      <c r="AM350" s="32"/>
      <c r="AN350" s="199"/>
      <c r="AO350" s="197"/>
      <c r="AP350" s="146"/>
      <c r="AQ350" s="146"/>
      <c r="AR350" s="32"/>
      <c r="AS350" s="199"/>
      <c r="AT350" s="197"/>
      <c r="AU350" s="146"/>
      <c r="AV350" s="146"/>
      <c r="AW350" s="30"/>
      <c r="AX350" s="199"/>
      <c r="AY350" s="197"/>
      <c r="AZ350" s="177"/>
      <c r="BA350" s="56">
        <f t="shared" si="14"/>
        <v>0</v>
      </c>
      <c r="BB350" s="9"/>
    </row>
    <row r="351" spans="1:54" ht="29" x14ac:dyDescent="0.35">
      <c r="A351" s="54"/>
      <c r="B351" s="188" t="s">
        <v>291</v>
      </c>
      <c r="C351" s="189"/>
      <c r="D351" s="214"/>
      <c r="E351" s="203">
        <v>0</v>
      </c>
      <c r="F351" s="204">
        <v>0</v>
      </c>
      <c r="G351" s="204">
        <f>G355</f>
        <v>184880.46510670669</v>
      </c>
      <c r="H351" s="189"/>
      <c r="I351" s="214"/>
      <c r="J351" s="203"/>
      <c r="K351" s="280"/>
      <c r="L351" s="206">
        <f>L355</f>
        <v>0</v>
      </c>
      <c r="M351" s="207"/>
      <c r="N351" s="214"/>
      <c r="O351" s="203"/>
      <c r="P351" s="281"/>
      <c r="Q351" s="206">
        <f>Q355</f>
        <v>46220.116276676672</v>
      </c>
      <c r="R351" s="194"/>
      <c r="S351" s="214"/>
      <c r="T351" s="203"/>
      <c r="U351" s="281"/>
      <c r="V351" s="206">
        <f>V355</f>
        <v>46220.116276676672</v>
      </c>
      <c r="W351" s="194"/>
      <c r="X351" s="214"/>
      <c r="Y351" s="203"/>
      <c r="Z351" s="281"/>
      <c r="AA351" s="206">
        <f>AA355</f>
        <v>92440.232553353344</v>
      </c>
      <c r="AB351" s="189"/>
      <c r="AC351" s="195"/>
      <c r="AD351" s="214"/>
      <c r="AE351" s="203"/>
      <c r="AF351" s="280"/>
      <c r="AG351" s="206">
        <v>0</v>
      </c>
      <c r="AH351" s="209"/>
      <c r="AI351" s="214"/>
      <c r="AJ351" s="203"/>
      <c r="AK351" s="281"/>
      <c r="AL351" s="206"/>
      <c r="AM351" s="196"/>
      <c r="AN351" s="214"/>
      <c r="AO351" s="203"/>
      <c r="AP351" s="281"/>
      <c r="AQ351" s="206"/>
      <c r="AR351" s="196"/>
      <c r="AS351" s="214"/>
      <c r="AT351" s="203"/>
      <c r="AU351" s="281"/>
      <c r="AV351" s="206"/>
      <c r="AW351" s="194"/>
      <c r="AX351" s="214"/>
      <c r="AY351" s="203"/>
      <c r="AZ351" s="204"/>
      <c r="BA351" s="193">
        <f t="shared" si="14"/>
        <v>0</v>
      </c>
      <c r="BB351" s="9"/>
    </row>
    <row r="352" spans="1:54" hidden="1" x14ac:dyDescent="0.35">
      <c r="A352" s="54"/>
      <c r="B352" s="210" t="s">
        <v>202</v>
      </c>
      <c r="C352" s="42"/>
      <c r="D352" s="199"/>
      <c r="E352" s="197"/>
      <c r="F352" s="146"/>
      <c r="G352" s="146"/>
      <c r="H352" s="42"/>
      <c r="I352" s="199"/>
      <c r="J352" s="197"/>
      <c r="K352" s="198"/>
      <c r="L352" s="146"/>
      <c r="M352" s="178"/>
      <c r="N352" s="199"/>
      <c r="O352" s="197"/>
      <c r="P352" s="146"/>
      <c r="Q352" s="146"/>
      <c r="R352" s="30"/>
      <c r="S352" s="199"/>
      <c r="T352" s="197"/>
      <c r="U352" s="146"/>
      <c r="V352" s="146"/>
      <c r="W352" s="30"/>
      <c r="X352" s="199"/>
      <c r="Y352" s="197"/>
      <c r="Z352" s="146"/>
      <c r="AA352" s="146"/>
      <c r="AB352" s="42"/>
      <c r="AC352" s="46"/>
      <c r="AD352" s="199"/>
      <c r="AE352" s="197"/>
      <c r="AF352" s="198"/>
      <c r="AG352" s="146"/>
      <c r="AH352" s="200"/>
      <c r="AI352" s="199"/>
      <c r="AJ352" s="197"/>
      <c r="AK352" s="146"/>
      <c r="AL352" s="146"/>
      <c r="AM352" s="32"/>
      <c r="AN352" s="199"/>
      <c r="AO352" s="197"/>
      <c r="AP352" s="146"/>
      <c r="AQ352" s="146"/>
      <c r="AR352" s="32"/>
      <c r="AS352" s="199"/>
      <c r="AT352" s="197"/>
      <c r="AU352" s="146"/>
      <c r="AV352" s="146"/>
      <c r="AW352" s="30"/>
      <c r="AX352" s="199"/>
      <c r="AY352" s="197"/>
      <c r="AZ352" s="146"/>
      <c r="BA352" s="56">
        <f t="shared" si="14"/>
        <v>0</v>
      </c>
      <c r="BB352" s="9"/>
    </row>
    <row r="353" spans="1:54" hidden="1" x14ac:dyDescent="0.35">
      <c r="A353" s="54"/>
      <c r="B353" s="55" t="s">
        <v>203</v>
      </c>
      <c r="C353" s="42"/>
      <c r="D353" s="199"/>
      <c r="E353" s="197">
        <v>0</v>
      </c>
      <c r="F353" s="177">
        <v>0</v>
      </c>
      <c r="G353" s="177">
        <v>0</v>
      </c>
      <c r="H353" s="42"/>
      <c r="I353" s="199"/>
      <c r="J353" s="197"/>
      <c r="K353" s="198"/>
      <c r="L353" s="146"/>
      <c r="M353" s="178"/>
      <c r="N353" s="199"/>
      <c r="O353" s="197"/>
      <c r="P353" s="146"/>
      <c r="Q353" s="146"/>
      <c r="R353" s="30"/>
      <c r="S353" s="199"/>
      <c r="T353" s="197"/>
      <c r="U353" s="146"/>
      <c r="V353" s="146"/>
      <c r="W353" s="30"/>
      <c r="X353" s="199"/>
      <c r="Y353" s="197"/>
      <c r="Z353" s="146"/>
      <c r="AA353" s="146"/>
      <c r="AB353" s="42"/>
      <c r="AC353" s="46"/>
      <c r="AD353" s="199"/>
      <c r="AE353" s="197"/>
      <c r="AF353" s="198"/>
      <c r="AG353" s="146"/>
      <c r="AH353" s="200"/>
      <c r="AI353" s="199"/>
      <c r="AJ353" s="197"/>
      <c r="AK353" s="146"/>
      <c r="AL353" s="146"/>
      <c r="AM353" s="32"/>
      <c r="AN353" s="199"/>
      <c r="AO353" s="197"/>
      <c r="AP353" s="146"/>
      <c r="AQ353" s="146"/>
      <c r="AR353" s="32"/>
      <c r="AS353" s="199"/>
      <c r="AT353" s="197"/>
      <c r="AU353" s="146"/>
      <c r="AV353" s="146"/>
      <c r="AW353" s="30"/>
      <c r="AX353" s="199"/>
      <c r="AY353" s="197"/>
      <c r="AZ353" s="177"/>
      <c r="BA353" s="56">
        <f t="shared" si="14"/>
        <v>0</v>
      </c>
      <c r="BB353" s="9"/>
    </row>
    <row r="354" spans="1:54" hidden="1" x14ac:dyDescent="0.35">
      <c r="A354" s="54"/>
      <c r="B354" s="174" t="s">
        <v>210</v>
      </c>
      <c r="C354" s="87"/>
      <c r="D354" s="199"/>
      <c r="E354" s="197">
        <v>0</v>
      </c>
      <c r="F354" s="177">
        <v>0</v>
      </c>
      <c r="G354" s="177">
        <v>0</v>
      </c>
      <c r="H354" s="87"/>
      <c r="I354" s="176"/>
      <c r="J354" s="197"/>
      <c r="K354" s="198"/>
      <c r="L354" s="146">
        <v>0</v>
      </c>
      <c r="M354" s="178"/>
      <c r="N354" s="176"/>
      <c r="O354" s="197"/>
      <c r="P354" s="146"/>
      <c r="Q354" s="146">
        <v>0</v>
      </c>
      <c r="R354" s="30"/>
      <c r="S354" s="199"/>
      <c r="T354" s="197"/>
      <c r="U354" s="146"/>
      <c r="V354" s="146"/>
      <c r="W354" s="30"/>
      <c r="X354" s="199"/>
      <c r="Y354" s="197"/>
      <c r="Z354" s="146"/>
      <c r="AA354" s="146"/>
      <c r="AB354" s="87"/>
      <c r="AC354" s="90"/>
      <c r="AD354" s="176"/>
      <c r="AE354" s="197"/>
      <c r="AF354" s="198"/>
      <c r="AG354" s="146"/>
      <c r="AH354" s="200"/>
      <c r="AI354" s="176"/>
      <c r="AJ354" s="197"/>
      <c r="AK354" s="146"/>
      <c r="AL354" s="146"/>
      <c r="AM354" s="32"/>
      <c r="AN354" s="199"/>
      <c r="AO354" s="197"/>
      <c r="AP354" s="146"/>
      <c r="AQ354" s="146"/>
      <c r="AR354" s="32"/>
      <c r="AS354" s="199"/>
      <c r="AT354" s="197"/>
      <c r="AU354" s="146"/>
      <c r="AV354" s="146"/>
      <c r="AW354" s="30"/>
      <c r="AX354" s="199"/>
      <c r="AY354" s="197"/>
      <c r="AZ354" s="177"/>
      <c r="BA354" s="56">
        <f t="shared" si="14"/>
        <v>0</v>
      </c>
      <c r="BB354" s="9"/>
    </row>
    <row r="355" spans="1:54" ht="29" x14ac:dyDescent="0.35">
      <c r="A355" s="54"/>
      <c r="B355" s="55" t="s">
        <v>292</v>
      </c>
      <c r="C355" s="87" t="s">
        <v>65</v>
      </c>
      <c r="D355" s="176" t="s">
        <v>293</v>
      </c>
      <c r="E355" s="197">
        <v>97750</v>
      </c>
      <c r="F355" s="213">
        <v>1.8913602568461043</v>
      </c>
      <c r="G355" s="177">
        <v>184880.46510670669</v>
      </c>
      <c r="H355" s="87"/>
      <c r="I355" s="176" t="s">
        <v>293</v>
      </c>
      <c r="J355" s="197">
        <v>24437.5</v>
      </c>
      <c r="K355" s="287"/>
      <c r="L355" s="146">
        <v>0</v>
      </c>
      <c r="M355" s="178"/>
      <c r="N355" s="176" t="s">
        <v>293</v>
      </c>
      <c r="O355" s="197">
        <v>24437.5</v>
      </c>
      <c r="P355" s="294">
        <v>1.8913602568461043</v>
      </c>
      <c r="Q355" s="146">
        <v>46220.116276676672</v>
      </c>
      <c r="R355" s="30"/>
      <c r="S355" s="176" t="s">
        <v>293</v>
      </c>
      <c r="T355" s="197">
        <v>24437.5</v>
      </c>
      <c r="U355" s="294">
        <v>1.8913602568461043</v>
      </c>
      <c r="V355" s="146">
        <v>46220.116276676672</v>
      </c>
      <c r="W355" s="30"/>
      <c r="X355" s="176" t="s">
        <v>293</v>
      </c>
      <c r="Y355" s="197">
        <v>48875</v>
      </c>
      <c r="Z355" s="295">
        <v>1.8913602568461043</v>
      </c>
      <c r="AA355" s="146">
        <v>92440.232553353344</v>
      </c>
      <c r="AB355" s="87"/>
      <c r="AC355" s="90"/>
      <c r="AD355" s="176"/>
      <c r="AE355" s="197"/>
      <c r="AF355" s="287"/>
      <c r="AG355" s="146"/>
      <c r="AH355" s="200"/>
      <c r="AI355" s="176"/>
      <c r="AJ355" s="197"/>
      <c r="AK355" s="294"/>
      <c r="AL355" s="146"/>
      <c r="AM355" s="32"/>
      <c r="AN355" s="176"/>
      <c r="AO355" s="197"/>
      <c r="AP355" s="294"/>
      <c r="AQ355" s="146"/>
      <c r="AR355" s="32"/>
      <c r="AS355" s="176"/>
      <c r="AT355" s="197"/>
      <c r="AU355" s="295"/>
      <c r="AV355" s="146"/>
      <c r="AW355" s="30"/>
      <c r="AX355" s="176"/>
      <c r="AY355" s="197"/>
      <c r="AZ355" s="213"/>
      <c r="BA355" s="56">
        <f t="shared" si="14"/>
        <v>0</v>
      </c>
      <c r="BB355" s="9"/>
    </row>
    <row r="356" spans="1:54" hidden="1" x14ac:dyDescent="0.35">
      <c r="A356" s="54"/>
      <c r="B356" s="55" t="s">
        <v>246</v>
      </c>
      <c r="C356" s="87"/>
      <c r="D356" s="199"/>
      <c r="E356" s="197">
        <v>0</v>
      </c>
      <c r="F356" s="177">
        <v>0</v>
      </c>
      <c r="G356" s="177">
        <v>0</v>
      </c>
      <c r="H356" s="87"/>
      <c r="I356" s="199"/>
      <c r="J356" s="197"/>
      <c r="K356" s="198"/>
      <c r="L356" s="146">
        <v>0</v>
      </c>
      <c r="M356" s="178"/>
      <c r="N356" s="199"/>
      <c r="O356" s="197"/>
      <c r="P356" s="146"/>
      <c r="Q356" s="146"/>
      <c r="R356" s="30"/>
      <c r="S356" s="199"/>
      <c r="T356" s="197"/>
      <c r="U356" s="146"/>
      <c r="V356" s="146"/>
      <c r="W356" s="30"/>
      <c r="X356" s="199"/>
      <c r="Y356" s="197"/>
      <c r="Z356" s="146"/>
      <c r="AA356" s="146"/>
      <c r="AB356" s="87"/>
      <c r="AC356" s="90"/>
      <c r="AD356" s="199"/>
      <c r="AE356" s="197"/>
      <c r="AF356" s="198"/>
      <c r="AG356" s="146"/>
      <c r="AH356" s="200"/>
      <c r="AI356" s="199"/>
      <c r="AJ356" s="197"/>
      <c r="AK356" s="146"/>
      <c r="AL356" s="146"/>
      <c r="AM356" s="32"/>
      <c r="AN356" s="199"/>
      <c r="AO356" s="197"/>
      <c r="AP356" s="146"/>
      <c r="AQ356" s="146"/>
      <c r="AR356" s="32"/>
      <c r="AS356" s="199"/>
      <c r="AT356" s="197"/>
      <c r="AU356" s="146"/>
      <c r="AV356" s="146"/>
      <c r="AW356" s="30"/>
      <c r="AX356" s="199"/>
      <c r="AY356" s="197"/>
      <c r="AZ356" s="177"/>
      <c r="BA356" s="56">
        <f t="shared" si="14"/>
        <v>0</v>
      </c>
      <c r="BB356" s="9"/>
    </row>
    <row r="357" spans="1:54" ht="29" x14ac:dyDescent="0.35">
      <c r="A357" s="54"/>
      <c r="B357" s="188" t="s">
        <v>294</v>
      </c>
      <c r="C357" s="189"/>
      <c r="D357" s="214"/>
      <c r="E357" s="203">
        <v>0</v>
      </c>
      <c r="F357" s="204">
        <v>0</v>
      </c>
      <c r="G357" s="204">
        <f>G362</f>
        <v>24673.873439874867</v>
      </c>
      <c r="H357" s="189"/>
      <c r="I357" s="214"/>
      <c r="J357" s="282"/>
      <c r="K357" s="283"/>
      <c r="L357" s="206">
        <f>L362</f>
        <v>6745.8690127554091</v>
      </c>
      <c r="M357" s="207"/>
      <c r="N357" s="214"/>
      <c r="O357" s="203"/>
      <c r="P357" s="206"/>
      <c r="Q357" s="206">
        <f>Q362</f>
        <v>8689.5939825323912</v>
      </c>
      <c r="R357" s="194"/>
      <c r="S357" s="214"/>
      <c r="T357" s="203"/>
      <c r="U357" s="206"/>
      <c r="V357" s="206">
        <f>V362</f>
        <v>0</v>
      </c>
      <c r="W357" s="194"/>
      <c r="X357" s="214"/>
      <c r="Y357" s="203"/>
      <c r="Z357" s="206"/>
      <c r="AA357" s="206">
        <f>AA362</f>
        <v>9238.4104445870689</v>
      </c>
      <c r="AB357" s="189"/>
      <c r="AC357" s="195"/>
      <c r="AD357" s="214"/>
      <c r="AE357" s="282"/>
      <c r="AF357" s="283"/>
      <c r="AG357" s="206">
        <v>6184.0930000000008</v>
      </c>
      <c r="AH357" s="209"/>
      <c r="AI357" s="214"/>
      <c r="AJ357" s="203"/>
      <c r="AK357" s="206"/>
      <c r="AL357" s="206"/>
      <c r="AM357" s="196"/>
      <c r="AN357" s="214"/>
      <c r="AO357" s="203"/>
      <c r="AP357" s="206"/>
      <c r="AQ357" s="206"/>
      <c r="AR357" s="196"/>
      <c r="AS357" s="214"/>
      <c r="AT357" s="203"/>
      <c r="AU357" s="206"/>
      <c r="AV357" s="206"/>
      <c r="AW357" s="194"/>
      <c r="AX357" s="214"/>
      <c r="AY357" s="203"/>
      <c r="AZ357" s="204"/>
      <c r="BA357" s="193">
        <f t="shared" si="14"/>
        <v>6184.0930000000008</v>
      </c>
      <c r="BB357" s="9"/>
    </row>
    <row r="358" spans="1:54" hidden="1" x14ac:dyDescent="0.35">
      <c r="A358" s="54"/>
      <c r="B358" s="180" t="s">
        <v>202</v>
      </c>
      <c r="C358" s="42"/>
      <c r="D358" s="199"/>
      <c r="E358" s="197"/>
      <c r="F358" s="146"/>
      <c r="G358" s="146"/>
      <c r="H358" s="42"/>
      <c r="I358" s="199"/>
      <c r="J358" s="197"/>
      <c r="K358" s="198"/>
      <c r="L358" s="146"/>
      <c r="M358" s="178"/>
      <c r="N358" s="199"/>
      <c r="O358" s="197"/>
      <c r="P358" s="146"/>
      <c r="Q358" s="146"/>
      <c r="R358" s="30"/>
      <c r="S358" s="199"/>
      <c r="T358" s="197"/>
      <c r="U358" s="146"/>
      <c r="V358" s="146"/>
      <c r="W358" s="30"/>
      <c r="X358" s="199"/>
      <c r="Y358" s="197"/>
      <c r="Z358" s="146"/>
      <c r="AA358" s="146"/>
      <c r="AB358" s="42"/>
      <c r="AC358" s="46"/>
      <c r="AD358" s="199"/>
      <c r="AE358" s="197"/>
      <c r="AF358" s="198"/>
      <c r="AG358" s="146"/>
      <c r="AH358" s="200"/>
      <c r="AI358" s="199"/>
      <c r="AJ358" s="197"/>
      <c r="AK358" s="146"/>
      <c r="AL358" s="146"/>
      <c r="AM358" s="32"/>
      <c r="AN358" s="199"/>
      <c r="AO358" s="197"/>
      <c r="AP358" s="146"/>
      <c r="AQ358" s="146"/>
      <c r="AR358" s="32"/>
      <c r="AS358" s="199"/>
      <c r="AT358" s="197"/>
      <c r="AU358" s="146"/>
      <c r="AV358" s="146"/>
      <c r="AW358" s="30"/>
      <c r="AX358" s="199"/>
      <c r="AY358" s="197"/>
      <c r="AZ358" s="146"/>
      <c r="BA358" s="56">
        <f t="shared" si="14"/>
        <v>0</v>
      </c>
      <c r="BB358" s="9"/>
    </row>
    <row r="359" spans="1:54" hidden="1" x14ac:dyDescent="0.35">
      <c r="A359" s="54"/>
      <c r="B359" s="55" t="s">
        <v>203</v>
      </c>
      <c r="C359" s="42"/>
      <c r="D359" s="199"/>
      <c r="E359" s="197">
        <v>0</v>
      </c>
      <c r="F359" s="177">
        <v>0</v>
      </c>
      <c r="G359" s="177">
        <v>0</v>
      </c>
      <c r="H359" s="42"/>
      <c r="I359" s="199"/>
      <c r="J359" s="197"/>
      <c r="K359" s="198">
        <v>0</v>
      </c>
      <c r="L359" s="146"/>
      <c r="M359" s="178"/>
      <c r="N359" s="199"/>
      <c r="O359" s="197"/>
      <c r="P359" s="146"/>
      <c r="Q359" s="146"/>
      <c r="R359" s="30"/>
      <c r="S359" s="199"/>
      <c r="T359" s="197"/>
      <c r="U359" s="146"/>
      <c r="V359" s="146"/>
      <c r="W359" s="30"/>
      <c r="X359" s="199"/>
      <c r="Y359" s="197"/>
      <c r="Z359" s="146"/>
      <c r="AA359" s="146"/>
      <c r="AB359" s="42"/>
      <c r="AC359" s="46"/>
      <c r="AD359" s="199"/>
      <c r="AE359" s="197"/>
      <c r="AF359" s="198"/>
      <c r="AG359" s="146"/>
      <c r="AH359" s="200"/>
      <c r="AI359" s="199"/>
      <c r="AJ359" s="197"/>
      <c r="AK359" s="146"/>
      <c r="AL359" s="146"/>
      <c r="AM359" s="32"/>
      <c r="AN359" s="199"/>
      <c r="AO359" s="197"/>
      <c r="AP359" s="146"/>
      <c r="AQ359" s="146"/>
      <c r="AR359" s="32"/>
      <c r="AS359" s="199"/>
      <c r="AT359" s="197"/>
      <c r="AU359" s="146"/>
      <c r="AV359" s="146"/>
      <c r="AW359" s="30"/>
      <c r="AX359" s="199"/>
      <c r="AY359" s="197"/>
      <c r="AZ359" s="177"/>
      <c r="BA359" s="56">
        <f t="shared" si="14"/>
        <v>0</v>
      </c>
      <c r="BB359" s="9"/>
    </row>
    <row r="360" spans="1:54" hidden="1" x14ac:dyDescent="0.35">
      <c r="A360" s="54"/>
      <c r="B360" s="55" t="s">
        <v>210</v>
      </c>
      <c r="C360" s="87"/>
      <c r="D360" s="199"/>
      <c r="E360" s="197">
        <v>0</v>
      </c>
      <c r="F360" s="177">
        <v>0</v>
      </c>
      <c r="G360" s="177">
        <v>0</v>
      </c>
      <c r="H360" s="87"/>
      <c r="I360" s="176"/>
      <c r="J360" s="197"/>
      <c r="K360" s="198"/>
      <c r="L360" s="146">
        <v>0</v>
      </c>
      <c r="M360" s="178"/>
      <c r="N360" s="176"/>
      <c r="O360" s="197"/>
      <c r="P360" s="146"/>
      <c r="Q360" s="146">
        <v>0</v>
      </c>
      <c r="R360" s="30"/>
      <c r="S360" s="199"/>
      <c r="T360" s="197"/>
      <c r="U360" s="146"/>
      <c r="V360" s="146"/>
      <c r="W360" s="30"/>
      <c r="X360" s="199"/>
      <c r="Y360" s="197"/>
      <c r="Z360" s="146"/>
      <c r="AA360" s="146"/>
      <c r="AB360" s="87"/>
      <c r="AC360" s="90"/>
      <c r="AD360" s="176"/>
      <c r="AE360" s="197"/>
      <c r="AF360" s="198"/>
      <c r="AG360" s="146"/>
      <c r="AH360" s="200"/>
      <c r="AI360" s="176"/>
      <c r="AJ360" s="197"/>
      <c r="AK360" s="146"/>
      <c r="AL360" s="146"/>
      <c r="AM360" s="32"/>
      <c r="AN360" s="199"/>
      <c r="AO360" s="197"/>
      <c r="AP360" s="146"/>
      <c r="AQ360" s="146"/>
      <c r="AR360" s="32"/>
      <c r="AS360" s="199"/>
      <c r="AT360" s="197"/>
      <c r="AU360" s="146"/>
      <c r="AV360" s="146"/>
      <c r="AW360" s="30"/>
      <c r="AX360" s="199"/>
      <c r="AY360" s="197"/>
      <c r="AZ360" s="177"/>
      <c r="BA360" s="56">
        <f t="shared" si="14"/>
        <v>0</v>
      </c>
      <c r="BB360" s="9"/>
    </row>
    <row r="361" spans="1:54" hidden="1" x14ac:dyDescent="0.35">
      <c r="A361" s="54"/>
      <c r="B361" s="55" t="s">
        <v>211</v>
      </c>
      <c r="C361" s="87"/>
      <c r="D361" s="199"/>
      <c r="E361" s="197">
        <v>0</v>
      </c>
      <c r="F361" s="177">
        <v>0</v>
      </c>
      <c r="G361" s="177">
        <v>0</v>
      </c>
      <c r="H361" s="87"/>
      <c r="I361" s="176"/>
      <c r="J361" s="296"/>
      <c r="K361" s="297"/>
      <c r="L361" s="146">
        <v>0</v>
      </c>
      <c r="M361" s="178"/>
      <c r="N361" s="176"/>
      <c r="O361" s="197"/>
      <c r="P361" s="213"/>
      <c r="Q361" s="146">
        <v>0</v>
      </c>
      <c r="R361" s="30"/>
      <c r="S361" s="199"/>
      <c r="T361" s="197"/>
      <c r="U361" s="146"/>
      <c r="V361" s="146"/>
      <c r="W361" s="30"/>
      <c r="X361" s="199"/>
      <c r="Y361" s="197"/>
      <c r="Z361" s="146"/>
      <c r="AA361" s="146"/>
      <c r="AB361" s="87"/>
      <c r="AC361" s="90"/>
      <c r="AD361" s="176"/>
      <c r="AE361" s="296"/>
      <c r="AF361" s="297"/>
      <c r="AG361" s="146"/>
      <c r="AH361" s="200"/>
      <c r="AI361" s="176"/>
      <c r="AJ361" s="197"/>
      <c r="AK361" s="213"/>
      <c r="AL361" s="146"/>
      <c r="AM361" s="32"/>
      <c r="AN361" s="199"/>
      <c r="AO361" s="197"/>
      <c r="AP361" s="146"/>
      <c r="AQ361" s="146"/>
      <c r="AR361" s="32"/>
      <c r="AS361" s="199"/>
      <c r="AT361" s="197"/>
      <c r="AU361" s="146"/>
      <c r="AV361" s="146"/>
      <c r="AW361" s="30"/>
      <c r="AX361" s="199"/>
      <c r="AY361" s="197"/>
      <c r="AZ361" s="177"/>
      <c r="BA361" s="56">
        <f t="shared" si="14"/>
        <v>0</v>
      </c>
      <c r="BB361" s="9"/>
    </row>
    <row r="362" spans="1:54" ht="29" x14ac:dyDescent="0.35">
      <c r="A362" s="54"/>
      <c r="B362" s="55" t="s">
        <v>295</v>
      </c>
      <c r="C362" s="87" t="s">
        <v>65</v>
      </c>
      <c r="D362" s="176" t="s">
        <v>189</v>
      </c>
      <c r="E362" s="197">
        <v>2158</v>
      </c>
      <c r="F362" s="177">
        <v>11.433676292805778</v>
      </c>
      <c r="G362" s="177">
        <v>24673.873439874867</v>
      </c>
      <c r="H362" s="87"/>
      <c r="I362" s="176" t="s">
        <v>189</v>
      </c>
      <c r="J362" s="296">
        <v>590</v>
      </c>
      <c r="K362" s="297">
        <v>11.433676292805778</v>
      </c>
      <c r="L362" s="146">
        <v>6745.8690127554091</v>
      </c>
      <c r="M362" s="178"/>
      <c r="N362" s="176" t="s">
        <v>189</v>
      </c>
      <c r="O362" s="296">
        <v>760</v>
      </c>
      <c r="P362" s="298">
        <v>11.433676292805778</v>
      </c>
      <c r="Q362" s="146">
        <v>8689.5939825323912</v>
      </c>
      <c r="R362" s="30"/>
      <c r="S362" s="176"/>
      <c r="T362" s="296"/>
      <c r="U362" s="298"/>
      <c r="V362" s="146">
        <v>0</v>
      </c>
      <c r="W362" s="30"/>
      <c r="X362" s="176" t="s">
        <v>189</v>
      </c>
      <c r="Y362" s="296">
        <v>808</v>
      </c>
      <c r="Z362" s="298">
        <v>11.433676292805778</v>
      </c>
      <c r="AA362" s="146">
        <v>9238.4104445870689</v>
      </c>
      <c r="AB362" s="87"/>
      <c r="AC362" s="90"/>
      <c r="AD362" s="176"/>
      <c r="AE362" s="296"/>
      <c r="AF362" s="297"/>
      <c r="AG362" s="146"/>
      <c r="AH362" s="200"/>
      <c r="AI362" s="176"/>
      <c r="AJ362" s="296"/>
      <c r="AK362" s="298"/>
      <c r="AL362" s="146"/>
      <c r="AM362" s="32"/>
      <c r="AN362" s="176"/>
      <c r="AO362" s="296"/>
      <c r="AP362" s="298"/>
      <c r="AQ362" s="146"/>
      <c r="AR362" s="32"/>
      <c r="AS362" s="176"/>
      <c r="AT362" s="296"/>
      <c r="AU362" s="298"/>
      <c r="AV362" s="146"/>
      <c r="AW362" s="30"/>
      <c r="AX362" s="176"/>
      <c r="AY362" s="197"/>
      <c r="AZ362" s="177"/>
      <c r="BA362" s="56">
        <f t="shared" si="14"/>
        <v>0</v>
      </c>
      <c r="BB362" s="9"/>
    </row>
    <row r="363" spans="1:54" ht="29" x14ac:dyDescent="0.35">
      <c r="A363" s="54"/>
      <c r="B363" s="188" t="s">
        <v>296</v>
      </c>
      <c r="C363" s="189"/>
      <c r="D363" s="214"/>
      <c r="E363" s="203">
        <v>0</v>
      </c>
      <c r="F363" s="204">
        <v>0</v>
      </c>
      <c r="G363" s="204">
        <f>G368</f>
        <v>24673.873439874867</v>
      </c>
      <c r="H363" s="189"/>
      <c r="I363" s="214"/>
      <c r="J363" s="282"/>
      <c r="K363" s="283"/>
      <c r="L363" s="206">
        <f>L368</f>
        <v>6745.8690127554091</v>
      </c>
      <c r="M363" s="207"/>
      <c r="N363" s="214"/>
      <c r="O363" s="203"/>
      <c r="P363" s="206"/>
      <c r="Q363" s="206">
        <f>Q368</f>
        <v>8689.5939825323912</v>
      </c>
      <c r="R363" s="194"/>
      <c r="S363" s="214"/>
      <c r="T363" s="203"/>
      <c r="U363" s="206"/>
      <c r="V363" s="206">
        <f>V368</f>
        <v>0</v>
      </c>
      <c r="W363" s="194"/>
      <c r="X363" s="214"/>
      <c r="Y363" s="203"/>
      <c r="Z363" s="206"/>
      <c r="AA363" s="206">
        <f>AA368</f>
        <v>9238.4104445870689</v>
      </c>
      <c r="AB363" s="189"/>
      <c r="AC363" s="195"/>
      <c r="AD363" s="214"/>
      <c r="AE363" s="282"/>
      <c r="AF363" s="283"/>
      <c r="AG363" s="206">
        <v>8553.1569999999992</v>
      </c>
      <c r="AH363" s="209"/>
      <c r="AI363" s="214"/>
      <c r="AJ363" s="203"/>
      <c r="AK363" s="206"/>
      <c r="AL363" s="206"/>
      <c r="AM363" s="196"/>
      <c r="AN363" s="214"/>
      <c r="AO363" s="203"/>
      <c r="AP363" s="206"/>
      <c r="AQ363" s="206"/>
      <c r="AR363" s="196"/>
      <c r="AS363" s="214"/>
      <c r="AT363" s="203"/>
      <c r="AU363" s="206"/>
      <c r="AV363" s="206"/>
      <c r="AW363" s="194"/>
      <c r="AX363" s="214"/>
      <c r="AY363" s="203"/>
      <c r="AZ363" s="204"/>
      <c r="BA363" s="193">
        <f t="shared" si="14"/>
        <v>8553.1569999999992</v>
      </c>
      <c r="BB363" s="9"/>
    </row>
    <row r="364" spans="1:54" hidden="1" x14ac:dyDescent="0.35">
      <c r="A364" s="54"/>
      <c r="B364" s="180" t="s">
        <v>202</v>
      </c>
      <c r="C364" s="42"/>
      <c r="D364" s="199"/>
      <c r="E364" s="197"/>
      <c r="F364" s="146"/>
      <c r="G364" s="146"/>
      <c r="H364" s="42"/>
      <c r="I364" s="199"/>
      <c r="J364" s="197"/>
      <c r="K364" s="198"/>
      <c r="L364" s="146"/>
      <c r="M364" s="178"/>
      <c r="N364" s="199"/>
      <c r="O364" s="197"/>
      <c r="P364" s="146"/>
      <c r="Q364" s="146"/>
      <c r="R364" s="30"/>
      <c r="S364" s="199"/>
      <c r="T364" s="197"/>
      <c r="U364" s="146"/>
      <c r="V364" s="146"/>
      <c r="W364" s="30"/>
      <c r="X364" s="199"/>
      <c r="Y364" s="197"/>
      <c r="Z364" s="146"/>
      <c r="AA364" s="146"/>
      <c r="AB364" s="42"/>
      <c r="AC364" s="46"/>
      <c r="AD364" s="199"/>
      <c r="AE364" s="197"/>
      <c r="AF364" s="198"/>
      <c r="AG364" s="146"/>
      <c r="AH364" s="200"/>
      <c r="AI364" s="199"/>
      <c r="AJ364" s="197"/>
      <c r="AK364" s="146"/>
      <c r="AL364" s="146"/>
      <c r="AM364" s="32"/>
      <c r="AN364" s="199"/>
      <c r="AO364" s="197"/>
      <c r="AP364" s="146"/>
      <c r="AQ364" s="146"/>
      <c r="AR364" s="32"/>
      <c r="AS364" s="199"/>
      <c r="AT364" s="197"/>
      <c r="AU364" s="146"/>
      <c r="AV364" s="146"/>
      <c r="AW364" s="30"/>
      <c r="AX364" s="199"/>
      <c r="AY364" s="197"/>
      <c r="AZ364" s="146"/>
      <c r="BA364" s="56">
        <f t="shared" si="14"/>
        <v>0</v>
      </c>
      <c r="BB364" s="9"/>
    </row>
    <row r="365" spans="1:54" hidden="1" x14ac:dyDescent="0.35">
      <c r="A365" s="54"/>
      <c r="B365" s="55" t="s">
        <v>203</v>
      </c>
      <c r="C365" s="42"/>
      <c r="D365" s="199"/>
      <c r="E365" s="197">
        <v>0</v>
      </c>
      <c r="F365" s="177">
        <v>0</v>
      </c>
      <c r="G365" s="177">
        <v>0</v>
      </c>
      <c r="H365" s="42"/>
      <c r="I365" s="199"/>
      <c r="J365" s="197"/>
      <c r="K365" s="198"/>
      <c r="L365" s="146"/>
      <c r="M365" s="178"/>
      <c r="N365" s="199"/>
      <c r="O365" s="197"/>
      <c r="P365" s="146"/>
      <c r="Q365" s="146"/>
      <c r="R365" s="30"/>
      <c r="S365" s="199"/>
      <c r="T365" s="197"/>
      <c r="U365" s="146"/>
      <c r="V365" s="146"/>
      <c r="W365" s="30"/>
      <c r="X365" s="199"/>
      <c r="Y365" s="197"/>
      <c r="Z365" s="146"/>
      <c r="AA365" s="146"/>
      <c r="AB365" s="42"/>
      <c r="AC365" s="46"/>
      <c r="AD365" s="199"/>
      <c r="AE365" s="197"/>
      <c r="AF365" s="198"/>
      <c r="AG365" s="146"/>
      <c r="AH365" s="200"/>
      <c r="AI365" s="199"/>
      <c r="AJ365" s="197"/>
      <c r="AK365" s="146"/>
      <c r="AL365" s="146"/>
      <c r="AM365" s="32"/>
      <c r="AN365" s="199"/>
      <c r="AO365" s="197"/>
      <c r="AP365" s="146"/>
      <c r="AQ365" s="146"/>
      <c r="AR365" s="32"/>
      <c r="AS365" s="199"/>
      <c r="AT365" s="197"/>
      <c r="AU365" s="146"/>
      <c r="AV365" s="146"/>
      <c r="AW365" s="30"/>
      <c r="AX365" s="199"/>
      <c r="AY365" s="197"/>
      <c r="AZ365" s="177"/>
      <c r="BA365" s="56">
        <f t="shared" si="14"/>
        <v>0</v>
      </c>
      <c r="BB365" s="9"/>
    </row>
    <row r="366" spans="1:54" hidden="1" x14ac:dyDescent="0.35">
      <c r="A366" s="54"/>
      <c r="B366" s="174" t="s">
        <v>210</v>
      </c>
      <c r="C366" s="87"/>
      <c r="D366" s="199"/>
      <c r="E366" s="197">
        <v>0</v>
      </c>
      <c r="F366" s="177">
        <v>0</v>
      </c>
      <c r="G366" s="177">
        <v>0</v>
      </c>
      <c r="H366" s="87"/>
      <c r="I366" s="176"/>
      <c r="J366" s="197"/>
      <c r="K366" s="198"/>
      <c r="L366" s="146">
        <v>0</v>
      </c>
      <c r="M366" s="178"/>
      <c r="N366" s="176"/>
      <c r="O366" s="197"/>
      <c r="P366" s="146"/>
      <c r="Q366" s="146">
        <v>0</v>
      </c>
      <c r="R366" s="30"/>
      <c r="S366" s="199"/>
      <c r="T366" s="197"/>
      <c r="U366" s="146"/>
      <c r="V366" s="146"/>
      <c r="W366" s="30"/>
      <c r="X366" s="199"/>
      <c r="Y366" s="197"/>
      <c r="Z366" s="146"/>
      <c r="AA366" s="146"/>
      <c r="AB366" s="87"/>
      <c r="AC366" s="90"/>
      <c r="AD366" s="176"/>
      <c r="AE366" s="197"/>
      <c r="AF366" s="198"/>
      <c r="AG366" s="146"/>
      <c r="AH366" s="200"/>
      <c r="AI366" s="176"/>
      <c r="AJ366" s="197"/>
      <c r="AK366" s="146"/>
      <c r="AL366" s="146"/>
      <c r="AM366" s="32"/>
      <c r="AN366" s="199"/>
      <c r="AO366" s="197"/>
      <c r="AP366" s="146"/>
      <c r="AQ366" s="146"/>
      <c r="AR366" s="32"/>
      <c r="AS366" s="199"/>
      <c r="AT366" s="197"/>
      <c r="AU366" s="146"/>
      <c r="AV366" s="146"/>
      <c r="AW366" s="30"/>
      <c r="AX366" s="199"/>
      <c r="AY366" s="197"/>
      <c r="AZ366" s="177"/>
      <c r="BA366" s="56">
        <f t="shared" ref="BA366:BA419" si="15">AG366+AL366+AQ366+AV366</f>
        <v>0</v>
      </c>
      <c r="BB366" s="9"/>
    </row>
    <row r="367" spans="1:54" hidden="1" x14ac:dyDescent="0.35">
      <c r="A367" s="54"/>
      <c r="B367" s="55" t="s">
        <v>211</v>
      </c>
      <c r="C367" s="87"/>
      <c r="D367" s="176"/>
      <c r="E367" s="197">
        <v>0</v>
      </c>
      <c r="F367" s="177">
        <v>0</v>
      </c>
      <c r="G367" s="177">
        <v>0</v>
      </c>
      <c r="H367" s="87"/>
      <c r="I367" s="176"/>
      <c r="J367" s="299"/>
      <c r="K367" s="300"/>
      <c r="L367" s="146"/>
      <c r="M367" s="178"/>
      <c r="N367" s="176"/>
      <c r="O367" s="197"/>
      <c r="P367" s="278"/>
      <c r="Q367" s="146">
        <v>0</v>
      </c>
      <c r="R367" s="30"/>
      <c r="S367" s="199"/>
      <c r="T367" s="197"/>
      <c r="U367" s="146"/>
      <c r="V367" s="146"/>
      <c r="W367" s="30"/>
      <c r="X367" s="199"/>
      <c r="Y367" s="197"/>
      <c r="Z367" s="146"/>
      <c r="AA367" s="146"/>
      <c r="AB367" s="87"/>
      <c r="AC367" s="90"/>
      <c r="AD367" s="176"/>
      <c r="AE367" s="299"/>
      <c r="AF367" s="300"/>
      <c r="AG367" s="146"/>
      <c r="AH367" s="200"/>
      <c r="AI367" s="176"/>
      <c r="AJ367" s="197"/>
      <c r="AK367" s="278"/>
      <c r="AL367" s="146"/>
      <c r="AM367" s="32"/>
      <c r="AN367" s="199"/>
      <c r="AO367" s="197"/>
      <c r="AP367" s="146"/>
      <c r="AQ367" s="146"/>
      <c r="AR367" s="32"/>
      <c r="AS367" s="199"/>
      <c r="AT367" s="197"/>
      <c r="AU367" s="146"/>
      <c r="AV367" s="146"/>
      <c r="AW367" s="30"/>
      <c r="AX367" s="176"/>
      <c r="AY367" s="197"/>
      <c r="AZ367" s="177"/>
      <c r="BA367" s="56">
        <f t="shared" si="15"/>
        <v>0</v>
      </c>
      <c r="BB367" s="9"/>
    </row>
    <row r="368" spans="1:54" ht="29" x14ac:dyDescent="0.35">
      <c r="A368" s="54"/>
      <c r="B368" s="55" t="s">
        <v>295</v>
      </c>
      <c r="C368" s="87" t="s">
        <v>65</v>
      </c>
      <c r="D368" s="176" t="s">
        <v>189</v>
      </c>
      <c r="E368" s="197">
        <v>2158</v>
      </c>
      <c r="F368" s="177">
        <v>11.433676292805778</v>
      </c>
      <c r="G368" s="177">
        <v>24673.873439874867</v>
      </c>
      <c r="H368" s="87"/>
      <c r="I368" s="176" t="s">
        <v>189</v>
      </c>
      <c r="J368" s="296">
        <v>590</v>
      </c>
      <c r="K368" s="297">
        <v>11.433676292805778</v>
      </c>
      <c r="L368" s="146">
        <v>6745.8690127554091</v>
      </c>
      <c r="M368" s="178"/>
      <c r="N368" s="176" t="s">
        <v>189</v>
      </c>
      <c r="O368" s="296">
        <v>760</v>
      </c>
      <c r="P368" s="298">
        <v>11.433676292805778</v>
      </c>
      <c r="Q368" s="146">
        <v>8689.5939825323912</v>
      </c>
      <c r="R368" s="30"/>
      <c r="S368" s="176"/>
      <c r="T368" s="296"/>
      <c r="U368" s="298"/>
      <c r="V368" s="146">
        <v>0</v>
      </c>
      <c r="W368" s="30"/>
      <c r="X368" s="176" t="s">
        <v>189</v>
      </c>
      <c r="Y368" s="296">
        <v>808</v>
      </c>
      <c r="Z368" s="298">
        <v>11.433676292805778</v>
      </c>
      <c r="AA368" s="146">
        <v>9238.4104445870689</v>
      </c>
      <c r="AB368" s="87"/>
      <c r="AC368" s="90"/>
      <c r="AD368" s="176"/>
      <c r="AE368" s="296"/>
      <c r="AF368" s="297"/>
      <c r="AG368" s="146"/>
      <c r="AH368" s="200"/>
      <c r="AI368" s="176"/>
      <c r="AJ368" s="296"/>
      <c r="AK368" s="298"/>
      <c r="AL368" s="146"/>
      <c r="AM368" s="32"/>
      <c r="AN368" s="176"/>
      <c r="AO368" s="296"/>
      <c r="AP368" s="298"/>
      <c r="AQ368" s="146"/>
      <c r="AR368" s="32"/>
      <c r="AS368" s="176"/>
      <c r="AT368" s="296"/>
      <c r="AU368" s="298"/>
      <c r="AV368" s="146"/>
      <c r="AW368" s="30"/>
      <c r="AX368" s="176"/>
      <c r="AY368" s="197"/>
      <c r="AZ368" s="177"/>
      <c r="BA368" s="56">
        <f t="shared" si="15"/>
        <v>0</v>
      </c>
      <c r="BB368" s="9"/>
    </row>
    <row r="369" spans="1:54" ht="29" x14ac:dyDescent="0.35">
      <c r="A369" s="54"/>
      <c r="B369" s="188" t="s">
        <v>297</v>
      </c>
      <c r="C369" s="189"/>
      <c r="D369" s="214"/>
      <c r="E369" s="203">
        <v>0</v>
      </c>
      <c r="F369" s="204">
        <v>0</v>
      </c>
      <c r="G369" s="204">
        <f>G374</f>
        <v>33912.28388446194</v>
      </c>
      <c r="H369" s="189"/>
      <c r="I369" s="214"/>
      <c r="J369" s="282"/>
      <c r="K369" s="283"/>
      <c r="L369" s="206">
        <f>L374</f>
        <v>6745.8690127554091</v>
      </c>
      <c r="M369" s="207"/>
      <c r="N369" s="214"/>
      <c r="O369" s="203"/>
      <c r="P369" s="206"/>
      <c r="Q369" s="206">
        <f>Q374</f>
        <v>8689.5939825323912</v>
      </c>
      <c r="R369" s="194"/>
      <c r="S369" s="214"/>
      <c r="T369" s="203"/>
      <c r="U369" s="206"/>
      <c r="V369" s="206">
        <f>V374</f>
        <v>9238.4104445870689</v>
      </c>
      <c r="W369" s="194"/>
      <c r="X369" s="214"/>
      <c r="Y369" s="203"/>
      <c r="Z369" s="206"/>
      <c r="AA369" s="206">
        <f>AA374</f>
        <v>9238.4104445870689</v>
      </c>
      <c r="AB369" s="189"/>
      <c r="AC369" s="195"/>
      <c r="AD369" s="214"/>
      <c r="AE369" s="282"/>
      <c r="AF369" s="283"/>
      <c r="AG369" s="206">
        <v>8446.4439999999995</v>
      </c>
      <c r="AH369" s="209"/>
      <c r="AI369" s="214"/>
      <c r="AJ369" s="203"/>
      <c r="AK369" s="206"/>
      <c r="AL369" s="206"/>
      <c r="AM369" s="196"/>
      <c r="AN369" s="214"/>
      <c r="AO369" s="203"/>
      <c r="AP369" s="206"/>
      <c r="AQ369" s="206"/>
      <c r="AR369" s="196"/>
      <c r="AS369" s="214"/>
      <c r="AT369" s="203"/>
      <c r="AU369" s="206"/>
      <c r="AV369" s="206"/>
      <c r="AW369" s="194"/>
      <c r="AX369" s="214"/>
      <c r="AY369" s="203"/>
      <c r="AZ369" s="204"/>
      <c r="BA369" s="193">
        <f t="shared" si="15"/>
        <v>8446.4439999999995</v>
      </c>
      <c r="BB369" s="9"/>
    </row>
    <row r="370" spans="1:54" hidden="1" x14ac:dyDescent="0.35">
      <c r="A370" s="54"/>
      <c r="B370" s="180" t="s">
        <v>202</v>
      </c>
      <c r="C370" s="42"/>
      <c r="D370" s="199"/>
      <c r="E370" s="197"/>
      <c r="F370" s="146"/>
      <c r="G370" s="146"/>
      <c r="H370" s="42"/>
      <c r="I370" s="199"/>
      <c r="J370" s="197"/>
      <c r="K370" s="198"/>
      <c r="L370" s="146"/>
      <c r="M370" s="178"/>
      <c r="N370" s="199"/>
      <c r="O370" s="197"/>
      <c r="P370" s="146"/>
      <c r="Q370" s="146"/>
      <c r="R370" s="30"/>
      <c r="S370" s="199"/>
      <c r="T370" s="197"/>
      <c r="U370" s="146"/>
      <c r="V370" s="146"/>
      <c r="W370" s="30"/>
      <c r="X370" s="199"/>
      <c r="Y370" s="197"/>
      <c r="Z370" s="146"/>
      <c r="AA370" s="146"/>
      <c r="AB370" s="42"/>
      <c r="AC370" s="46"/>
      <c r="AD370" s="199"/>
      <c r="AE370" s="197"/>
      <c r="AF370" s="198"/>
      <c r="AG370" s="146"/>
      <c r="AH370" s="200"/>
      <c r="AI370" s="199"/>
      <c r="AJ370" s="197"/>
      <c r="AK370" s="146"/>
      <c r="AL370" s="146"/>
      <c r="AM370" s="32"/>
      <c r="AN370" s="199"/>
      <c r="AO370" s="197"/>
      <c r="AP370" s="146"/>
      <c r="AQ370" s="146"/>
      <c r="AR370" s="32"/>
      <c r="AS370" s="199"/>
      <c r="AT370" s="197"/>
      <c r="AU370" s="146"/>
      <c r="AV370" s="146"/>
      <c r="AW370" s="30"/>
      <c r="AX370" s="199"/>
      <c r="AY370" s="197"/>
      <c r="AZ370" s="146"/>
      <c r="BA370" s="56">
        <f t="shared" si="15"/>
        <v>0</v>
      </c>
      <c r="BB370" s="9"/>
    </row>
    <row r="371" spans="1:54" hidden="1" x14ac:dyDescent="0.35">
      <c r="A371" s="54"/>
      <c r="B371" s="55" t="s">
        <v>203</v>
      </c>
      <c r="C371" s="42"/>
      <c r="D371" s="199"/>
      <c r="E371" s="197">
        <v>0</v>
      </c>
      <c r="F371" s="177">
        <v>0</v>
      </c>
      <c r="G371" s="177">
        <v>0</v>
      </c>
      <c r="H371" s="42"/>
      <c r="I371" s="199"/>
      <c r="J371" s="197"/>
      <c r="K371" s="198"/>
      <c r="L371" s="146"/>
      <c r="M371" s="178"/>
      <c r="N371" s="199"/>
      <c r="O371" s="197"/>
      <c r="P371" s="146"/>
      <c r="Q371" s="146"/>
      <c r="R371" s="30"/>
      <c r="S371" s="199"/>
      <c r="T371" s="197"/>
      <c r="U371" s="146"/>
      <c r="V371" s="146"/>
      <c r="W371" s="30"/>
      <c r="X371" s="199"/>
      <c r="Y371" s="197"/>
      <c r="Z371" s="146"/>
      <c r="AA371" s="146"/>
      <c r="AB371" s="42"/>
      <c r="AC371" s="46"/>
      <c r="AD371" s="199"/>
      <c r="AE371" s="197"/>
      <c r="AF371" s="198"/>
      <c r="AG371" s="146"/>
      <c r="AH371" s="200"/>
      <c r="AI371" s="199"/>
      <c r="AJ371" s="197"/>
      <c r="AK371" s="146"/>
      <c r="AL371" s="146"/>
      <c r="AM371" s="32"/>
      <c r="AN371" s="199"/>
      <c r="AO371" s="197"/>
      <c r="AP371" s="146"/>
      <c r="AQ371" s="146"/>
      <c r="AR371" s="32"/>
      <c r="AS371" s="199"/>
      <c r="AT371" s="197"/>
      <c r="AU371" s="146"/>
      <c r="AV371" s="146"/>
      <c r="AW371" s="30"/>
      <c r="AX371" s="199"/>
      <c r="AY371" s="197"/>
      <c r="AZ371" s="177"/>
      <c r="BA371" s="56">
        <f t="shared" si="15"/>
        <v>0</v>
      </c>
      <c r="BB371" s="9"/>
    </row>
    <row r="372" spans="1:54" hidden="1" x14ac:dyDescent="0.35">
      <c r="A372" s="54"/>
      <c r="B372" s="55" t="s">
        <v>210</v>
      </c>
      <c r="C372" s="87"/>
      <c r="D372" s="199"/>
      <c r="E372" s="197">
        <v>0</v>
      </c>
      <c r="F372" s="177">
        <v>0</v>
      </c>
      <c r="G372" s="177">
        <v>0</v>
      </c>
      <c r="H372" s="87"/>
      <c r="I372" s="176"/>
      <c r="J372" s="197"/>
      <c r="K372" s="198"/>
      <c r="L372" s="146">
        <v>0</v>
      </c>
      <c r="M372" s="178"/>
      <c r="N372" s="176"/>
      <c r="O372" s="197"/>
      <c r="P372" s="146"/>
      <c r="Q372" s="146">
        <v>0</v>
      </c>
      <c r="R372" s="30"/>
      <c r="S372" s="199"/>
      <c r="T372" s="197"/>
      <c r="U372" s="146"/>
      <c r="V372" s="146"/>
      <c r="W372" s="30"/>
      <c r="X372" s="199"/>
      <c r="Y372" s="197"/>
      <c r="Z372" s="146"/>
      <c r="AA372" s="146"/>
      <c r="AB372" s="87"/>
      <c r="AC372" s="90"/>
      <c r="AD372" s="176"/>
      <c r="AE372" s="197"/>
      <c r="AF372" s="198"/>
      <c r="AG372" s="146"/>
      <c r="AH372" s="200"/>
      <c r="AI372" s="176"/>
      <c r="AJ372" s="197"/>
      <c r="AK372" s="146"/>
      <c r="AL372" s="146"/>
      <c r="AM372" s="32"/>
      <c r="AN372" s="199"/>
      <c r="AO372" s="197"/>
      <c r="AP372" s="146"/>
      <c r="AQ372" s="146"/>
      <c r="AR372" s="32"/>
      <c r="AS372" s="199"/>
      <c r="AT372" s="197"/>
      <c r="AU372" s="146"/>
      <c r="AV372" s="146"/>
      <c r="AW372" s="30"/>
      <c r="AX372" s="199"/>
      <c r="AY372" s="197"/>
      <c r="AZ372" s="177"/>
      <c r="BA372" s="56">
        <f t="shared" si="15"/>
        <v>0</v>
      </c>
      <c r="BB372" s="9"/>
    </row>
    <row r="373" spans="1:54" hidden="1" x14ac:dyDescent="0.35">
      <c r="A373" s="54"/>
      <c r="B373" s="55" t="s">
        <v>211</v>
      </c>
      <c r="C373" s="87"/>
      <c r="D373" s="176"/>
      <c r="E373" s="197">
        <v>0</v>
      </c>
      <c r="F373" s="177">
        <v>0</v>
      </c>
      <c r="G373" s="177">
        <v>0</v>
      </c>
      <c r="H373" s="87"/>
      <c r="I373" s="176"/>
      <c r="J373" s="296"/>
      <c r="K373" s="297"/>
      <c r="L373" s="146"/>
      <c r="M373" s="178"/>
      <c r="N373" s="176"/>
      <c r="O373" s="197"/>
      <c r="P373" s="213"/>
      <c r="Q373" s="146">
        <v>0</v>
      </c>
      <c r="R373" s="30"/>
      <c r="S373" s="199"/>
      <c r="T373" s="197"/>
      <c r="U373" s="146"/>
      <c r="V373" s="146"/>
      <c r="W373" s="30"/>
      <c r="X373" s="199"/>
      <c r="Y373" s="197"/>
      <c r="Z373" s="146"/>
      <c r="AA373" s="146"/>
      <c r="AB373" s="87"/>
      <c r="AC373" s="90"/>
      <c r="AD373" s="176"/>
      <c r="AE373" s="296"/>
      <c r="AF373" s="297"/>
      <c r="AG373" s="146"/>
      <c r="AH373" s="200"/>
      <c r="AI373" s="176"/>
      <c r="AJ373" s="197"/>
      <c r="AK373" s="213"/>
      <c r="AL373" s="146"/>
      <c r="AM373" s="32"/>
      <c r="AN373" s="199"/>
      <c r="AO373" s="197"/>
      <c r="AP373" s="146"/>
      <c r="AQ373" s="146"/>
      <c r="AR373" s="32"/>
      <c r="AS373" s="199"/>
      <c r="AT373" s="197"/>
      <c r="AU373" s="146"/>
      <c r="AV373" s="146"/>
      <c r="AW373" s="30"/>
      <c r="AX373" s="176"/>
      <c r="AY373" s="197"/>
      <c r="AZ373" s="177"/>
      <c r="BA373" s="56">
        <f t="shared" si="15"/>
        <v>0</v>
      </c>
      <c r="BB373" s="9"/>
    </row>
    <row r="374" spans="1:54" x14ac:dyDescent="0.35">
      <c r="A374" s="54"/>
      <c r="B374" s="55" t="s">
        <v>298</v>
      </c>
      <c r="C374" s="87" t="s">
        <v>65</v>
      </c>
      <c r="D374" s="176" t="s">
        <v>299</v>
      </c>
      <c r="E374" s="197">
        <v>2966</v>
      </c>
      <c r="F374" s="177">
        <v>11.433676292805778</v>
      </c>
      <c r="G374" s="177">
        <v>33912.28388446194</v>
      </c>
      <c r="H374" s="87"/>
      <c r="I374" s="176" t="s">
        <v>300</v>
      </c>
      <c r="J374" s="296">
        <v>590</v>
      </c>
      <c r="K374" s="297">
        <v>11.433676292805778</v>
      </c>
      <c r="L374" s="146">
        <v>6745.8690127554091</v>
      </c>
      <c r="M374" s="178"/>
      <c r="N374" s="176" t="s">
        <v>300</v>
      </c>
      <c r="O374" s="296">
        <v>760</v>
      </c>
      <c r="P374" s="298">
        <v>11.433676292805778</v>
      </c>
      <c r="Q374" s="146">
        <v>8689.5939825323912</v>
      </c>
      <c r="R374" s="30"/>
      <c r="S374" s="176" t="s">
        <v>300</v>
      </c>
      <c r="T374" s="296">
        <v>808</v>
      </c>
      <c r="U374" s="298">
        <v>11.433676292805778</v>
      </c>
      <c r="V374" s="146">
        <v>9238.4104445870689</v>
      </c>
      <c r="W374" s="30"/>
      <c r="X374" s="176" t="s">
        <v>300</v>
      </c>
      <c r="Y374" s="296">
        <v>808</v>
      </c>
      <c r="Z374" s="298">
        <v>11.433676292805778</v>
      </c>
      <c r="AA374" s="146">
        <v>9238.4104445870689</v>
      </c>
      <c r="AB374" s="87"/>
      <c r="AC374" s="90"/>
      <c r="AD374" s="176"/>
      <c r="AE374" s="296"/>
      <c r="AF374" s="297"/>
      <c r="AG374" s="146"/>
      <c r="AH374" s="200"/>
      <c r="AI374" s="176"/>
      <c r="AJ374" s="296"/>
      <c r="AK374" s="298"/>
      <c r="AL374" s="146"/>
      <c r="AM374" s="32"/>
      <c r="AN374" s="176"/>
      <c r="AO374" s="296"/>
      <c r="AP374" s="298"/>
      <c r="AQ374" s="146"/>
      <c r="AR374" s="32"/>
      <c r="AS374" s="176"/>
      <c r="AT374" s="296"/>
      <c r="AU374" s="298"/>
      <c r="AV374" s="146"/>
      <c r="AW374" s="30"/>
      <c r="AX374" s="176"/>
      <c r="AY374" s="197"/>
      <c r="AZ374" s="177"/>
      <c r="BA374" s="56">
        <f t="shared" si="15"/>
        <v>0</v>
      </c>
      <c r="BB374" s="9"/>
    </row>
    <row r="375" spans="1:54" ht="29" x14ac:dyDescent="0.35">
      <c r="A375" s="54"/>
      <c r="B375" s="188" t="s">
        <v>301</v>
      </c>
      <c r="C375" s="189"/>
      <c r="D375" s="214"/>
      <c r="E375" s="203">
        <v>0</v>
      </c>
      <c r="F375" s="204">
        <v>0</v>
      </c>
      <c r="G375" s="204">
        <f>G379</f>
        <v>17089.534832313704</v>
      </c>
      <c r="H375" s="189"/>
      <c r="I375" s="214"/>
      <c r="J375" s="282"/>
      <c r="K375" s="283"/>
      <c r="L375" s="206">
        <f>L379</f>
        <v>17089.534832313704</v>
      </c>
      <c r="M375" s="207"/>
      <c r="N375" s="214"/>
      <c r="O375" s="203"/>
      <c r="P375" s="206"/>
      <c r="Q375" s="206">
        <f>Q379</f>
        <v>0</v>
      </c>
      <c r="R375" s="194"/>
      <c r="S375" s="214"/>
      <c r="T375" s="203"/>
      <c r="U375" s="206"/>
      <c r="V375" s="206">
        <f>V379</f>
        <v>0</v>
      </c>
      <c r="W375" s="194"/>
      <c r="X375" s="214"/>
      <c r="Y375" s="203"/>
      <c r="Z375" s="206"/>
      <c r="AA375" s="206">
        <f>AA379</f>
        <v>0</v>
      </c>
      <c r="AB375" s="189"/>
      <c r="AC375" s="195"/>
      <c r="AD375" s="214"/>
      <c r="AE375" s="282"/>
      <c r="AF375" s="283"/>
      <c r="AG375" s="206">
        <v>18882.343999999997</v>
      </c>
      <c r="AH375" s="209"/>
      <c r="AI375" s="214"/>
      <c r="AJ375" s="203"/>
      <c r="AK375" s="206"/>
      <c r="AL375" s="206"/>
      <c r="AM375" s="196"/>
      <c r="AN375" s="214"/>
      <c r="AO375" s="203"/>
      <c r="AP375" s="206"/>
      <c r="AQ375" s="206"/>
      <c r="AR375" s="196"/>
      <c r="AS375" s="214"/>
      <c r="AT375" s="203"/>
      <c r="AU375" s="206"/>
      <c r="AV375" s="206"/>
      <c r="AW375" s="194"/>
      <c r="AX375" s="214"/>
      <c r="AY375" s="203"/>
      <c r="AZ375" s="204"/>
      <c r="BA375" s="193">
        <f t="shared" si="15"/>
        <v>18882.343999999997</v>
      </c>
      <c r="BB375" s="9"/>
    </row>
    <row r="376" spans="1:54" hidden="1" x14ac:dyDescent="0.35">
      <c r="A376" s="54"/>
      <c r="B376" s="210" t="s">
        <v>202</v>
      </c>
      <c r="C376" s="42"/>
      <c r="D376" s="199"/>
      <c r="E376" s="197"/>
      <c r="F376" s="146"/>
      <c r="G376" s="146"/>
      <c r="H376" s="42"/>
      <c r="I376" s="199"/>
      <c r="J376" s="197"/>
      <c r="K376" s="198"/>
      <c r="L376" s="146"/>
      <c r="M376" s="178"/>
      <c r="N376" s="199"/>
      <c r="O376" s="197"/>
      <c r="P376" s="146"/>
      <c r="Q376" s="146"/>
      <c r="R376" s="30"/>
      <c r="S376" s="199"/>
      <c r="T376" s="197"/>
      <c r="U376" s="146"/>
      <c r="V376" s="146"/>
      <c r="W376" s="30"/>
      <c r="X376" s="199"/>
      <c r="Y376" s="197"/>
      <c r="Z376" s="146"/>
      <c r="AA376" s="146"/>
      <c r="AB376" s="42"/>
      <c r="AC376" s="46"/>
      <c r="AD376" s="199"/>
      <c r="AE376" s="197"/>
      <c r="AF376" s="198"/>
      <c r="AG376" s="146"/>
      <c r="AH376" s="200"/>
      <c r="AI376" s="199"/>
      <c r="AJ376" s="197"/>
      <c r="AK376" s="146"/>
      <c r="AL376" s="146"/>
      <c r="AM376" s="32"/>
      <c r="AN376" s="199"/>
      <c r="AO376" s="197"/>
      <c r="AP376" s="146"/>
      <c r="AQ376" s="146"/>
      <c r="AR376" s="32"/>
      <c r="AS376" s="199"/>
      <c r="AT376" s="197"/>
      <c r="AU376" s="146"/>
      <c r="AV376" s="146"/>
      <c r="AW376" s="30"/>
      <c r="AX376" s="199"/>
      <c r="AY376" s="197"/>
      <c r="AZ376" s="146"/>
      <c r="BA376" s="56">
        <f t="shared" si="15"/>
        <v>0</v>
      </c>
      <c r="BB376" s="9"/>
    </row>
    <row r="377" spans="1:54" hidden="1" x14ac:dyDescent="0.35">
      <c r="A377" s="54"/>
      <c r="B377" s="55" t="s">
        <v>203</v>
      </c>
      <c r="C377" s="42"/>
      <c r="D377" s="199"/>
      <c r="E377" s="197">
        <v>0</v>
      </c>
      <c r="F377" s="177">
        <v>0</v>
      </c>
      <c r="G377" s="177">
        <v>0</v>
      </c>
      <c r="H377" s="42"/>
      <c r="I377" s="199"/>
      <c r="J377" s="197"/>
      <c r="K377" s="198"/>
      <c r="L377" s="146"/>
      <c r="M377" s="178"/>
      <c r="N377" s="199"/>
      <c r="O377" s="197"/>
      <c r="P377" s="146"/>
      <c r="Q377" s="146"/>
      <c r="R377" s="30"/>
      <c r="S377" s="199"/>
      <c r="T377" s="197"/>
      <c r="U377" s="146"/>
      <c r="V377" s="146"/>
      <c r="W377" s="30"/>
      <c r="X377" s="199"/>
      <c r="Y377" s="197"/>
      <c r="Z377" s="146"/>
      <c r="AA377" s="146"/>
      <c r="AB377" s="42"/>
      <c r="AC377" s="46"/>
      <c r="AD377" s="199"/>
      <c r="AE377" s="197"/>
      <c r="AF377" s="198"/>
      <c r="AG377" s="146"/>
      <c r="AH377" s="200"/>
      <c r="AI377" s="199"/>
      <c r="AJ377" s="197"/>
      <c r="AK377" s="146"/>
      <c r="AL377" s="146"/>
      <c r="AM377" s="32"/>
      <c r="AN377" s="199"/>
      <c r="AO377" s="197"/>
      <c r="AP377" s="146"/>
      <c r="AQ377" s="146"/>
      <c r="AR377" s="32"/>
      <c r="AS377" s="199"/>
      <c r="AT377" s="197"/>
      <c r="AU377" s="146"/>
      <c r="AV377" s="146"/>
      <c r="AW377" s="30"/>
      <c r="AX377" s="199"/>
      <c r="AY377" s="197"/>
      <c r="AZ377" s="177"/>
      <c r="BA377" s="56">
        <f t="shared" si="15"/>
        <v>0</v>
      </c>
      <c r="BB377" s="9"/>
    </row>
    <row r="378" spans="1:54" hidden="1" x14ac:dyDescent="0.35">
      <c r="A378" s="54"/>
      <c r="B378" s="174" t="s">
        <v>210</v>
      </c>
      <c r="C378" s="87"/>
      <c r="D378" s="199"/>
      <c r="E378" s="197">
        <v>0</v>
      </c>
      <c r="F378" s="177">
        <v>0</v>
      </c>
      <c r="G378" s="177">
        <v>0</v>
      </c>
      <c r="H378" s="87"/>
      <c r="I378" s="176"/>
      <c r="J378" s="197"/>
      <c r="K378" s="198"/>
      <c r="L378" s="146">
        <v>0</v>
      </c>
      <c r="M378" s="178"/>
      <c r="N378" s="176"/>
      <c r="O378" s="197"/>
      <c r="P378" s="146"/>
      <c r="Q378" s="146">
        <v>0</v>
      </c>
      <c r="R378" s="30"/>
      <c r="S378" s="199"/>
      <c r="T378" s="197"/>
      <c r="U378" s="146"/>
      <c r="V378" s="146"/>
      <c r="W378" s="30"/>
      <c r="X378" s="199"/>
      <c r="Y378" s="197"/>
      <c r="Z378" s="146"/>
      <c r="AA378" s="146"/>
      <c r="AB378" s="87"/>
      <c r="AC378" s="90"/>
      <c r="AD378" s="176"/>
      <c r="AE378" s="197"/>
      <c r="AF378" s="198"/>
      <c r="AG378" s="146"/>
      <c r="AH378" s="200"/>
      <c r="AI378" s="176"/>
      <c r="AJ378" s="197"/>
      <c r="AK378" s="146"/>
      <c r="AL378" s="146"/>
      <c r="AM378" s="32"/>
      <c r="AN378" s="199"/>
      <c r="AO378" s="197"/>
      <c r="AP378" s="146"/>
      <c r="AQ378" s="146"/>
      <c r="AR378" s="32"/>
      <c r="AS378" s="199"/>
      <c r="AT378" s="197"/>
      <c r="AU378" s="146"/>
      <c r="AV378" s="146"/>
      <c r="AW378" s="30"/>
      <c r="AX378" s="199"/>
      <c r="AY378" s="197"/>
      <c r="AZ378" s="177"/>
      <c r="BA378" s="56">
        <f t="shared" si="15"/>
        <v>0</v>
      </c>
      <c r="BB378" s="9"/>
    </row>
    <row r="379" spans="1:54" ht="25" x14ac:dyDescent="0.35">
      <c r="A379" s="54"/>
      <c r="B379" s="55" t="s">
        <v>211</v>
      </c>
      <c r="C379" s="104" t="s">
        <v>27</v>
      </c>
      <c r="D379" s="176" t="s">
        <v>302</v>
      </c>
      <c r="E379" s="197">
        <v>590</v>
      </c>
      <c r="F379" s="177">
        <v>28.965313275107974</v>
      </c>
      <c r="G379" s="177">
        <v>17089.534832313704</v>
      </c>
      <c r="H379" s="104"/>
      <c r="I379" s="176" t="s">
        <v>302</v>
      </c>
      <c r="J379" s="296">
        <v>590</v>
      </c>
      <c r="K379" s="297">
        <v>28.965313275107974</v>
      </c>
      <c r="L379" s="146">
        <v>17089.534832313704</v>
      </c>
      <c r="M379" s="178"/>
      <c r="N379" s="176"/>
      <c r="O379" s="197"/>
      <c r="P379" s="278"/>
      <c r="Q379" s="146">
        <v>0</v>
      </c>
      <c r="R379" s="30"/>
      <c r="S379" s="199"/>
      <c r="T379" s="197"/>
      <c r="U379" s="146"/>
      <c r="V379" s="146"/>
      <c r="W379" s="30"/>
      <c r="X379" s="199"/>
      <c r="Y379" s="197"/>
      <c r="Z379" s="146"/>
      <c r="AA379" s="146"/>
      <c r="AB379" s="104"/>
      <c r="AC379" s="90"/>
      <c r="AD379" s="176"/>
      <c r="AE379" s="296"/>
      <c r="AF379" s="297"/>
      <c r="AG379" s="146"/>
      <c r="AH379" s="200"/>
      <c r="AI379" s="176"/>
      <c r="AJ379" s="197"/>
      <c r="AK379" s="278"/>
      <c r="AL379" s="146"/>
      <c r="AM379" s="32"/>
      <c r="AN379" s="199"/>
      <c r="AO379" s="197"/>
      <c r="AP379" s="146"/>
      <c r="AQ379" s="146"/>
      <c r="AR379" s="32"/>
      <c r="AS379" s="199"/>
      <c r="AT379" s="197"/>
      <c r="AU379" s="146"/>
      <c r="AV379" s="146"/>
      <c r="AW379" s="30"/>
      <c r="AX379" s="176"/>
      <c r="AY379" s="197"/>
      <c r="AZ379" s="177"/>
      <c r="BA379" s="56">
        <f t="shared" si="15"/>
        <v>0</v>
      </c>
      <c r="BB379" s="9"/>
    </row>
    <row r="380" spans="1:54" hidden="1" x14ac:dyDescent="0.35">
      <c r="A380" s="54"/>
      <c r="B380" s="174" t="s">
        <v>246</v>
      </c>
      <c r="C380" s="87"/>
      <c r="D380" s="199"/>
      <c r="E380" s="197">
        <v>0</v>
      </c>
      <c r="F380" s="177">
        <v>0</v>
      </c>
      <c r="G380" s="177">
        <v>0</v>
      </c>
      <c r="H380" s="87"/>
      <c r="I380" s="199"/>
      <c r="J380" s="197"/>
      <c r="K380" s="198"/>
      <c r="L380" s="146">
        <v>0</v>
      </c>
      <c r="M380" s="178"/>
      <c r="N380" s="199"/>
      <c r="O380" s="197"/>
      <c r="P380" s="146"/>
      <c r="Q380" s="146"/>
      <c r="R380" s="30"/>
      <c r="S380" s="199"/>
      <c r="T380" s="197"/>
      <c r="U380" s="146"/>
      <c r="V380" s="146"/>
      <c r="W380" s="30"/>
      <c r="X380" s="199"/>
      <c r="Y380" s="197"/>
      <c r="Z380" s="146"/>
      <c r="AA380" s="146"/>
      <c r="AB380" s="87"/>
      <c r="AC380" s="90"/>
      <c r="AD380" s="199"/>
      <c r="AE380" s="197"/>
      <c r="AF380" s="198"/>
      <c r="AG380" s="146"/>
      <c r="AH380" s="200"/>
      <c r="AI380" s="199"/>
      <c r="AJ380" s="197"/>
      <c r="AK380" s="146"/>
      <c r="AL380" s="146"/>
      <c r="AM380" s="32"/>
      <c r="AN380" s="199"/>
      <c r="AO380" s="197"/>
      <c r="AP380" s="146"/>
      <c r="AQ380" s="146"/>
      <c r="AR380" s="32"/>
      <c r="AS380" s="199"/>
      <c r="AT380" s="197"/>
      <c r="AU380" s="146"/>
      <c r="AV380" s="146"/>
      <c r="AW380" s="30"/>
      <c r="AX380" s="199"/>
      <c r="AY380" s="197"/>
      <c r="AZ380" s="177"/>
      <c r="BA380" s="56">
        <f t="shared" si="15"/>
        <v>0</v>
      </c>
      <c r="BB380" s="9"/>
    </row>
    <row r="381" spans="1:54" ht="45" customHeight="1" x14ac:dyDescent="0.35">
      <c r="A381" s="54"/>
      <c r="B381" s="188" t="s">
        <v>303</v>
      </c>
      <c r="C381" s="189"/>
      <c r="D381" s="214"/>
      <c r="E381" s="203">
        <v>0</v>
      </c>
      <c r="F381" s="204">
        <v>0</v>
      </c>
      <c r="G381" s="204">
        <v>0</v>
      </c>
      <c r="H381" s="189"/>
      <c r="I381" s="214"/>
      <c r="J381" s="282"/>
      <c r="K381" s="283"/>
      <c r="L381" s="206">
        <v>0</v>
      </c>
      <c r="M381" s="207"/>
      <c r="N381" s="214"/>
      <c r="O381" s="203"/>
      <c r="P381" s="206"/>
      <c r="Q381" s="206">
        <v>0</v>
      </c>
      <c r="R381" s="194"/>
      <c r="S381" s="214" t="s">
        <v>194</v>
      </c>
      <c r="T381" s="203"/>
      <c r="U381" s="206"/>
      <c r="V381" s="206">
        <v>0</v>
      </c>
      <c r="W381" s="194"/>
      <c r="X381" s="214"/>
      <c r="Y381" s="203"/>
      <c r="Z381" s="206"/>
      <c r="AA381" s="206">
        <v>0</v>
      </c>
      <c r="AB381" s="189"/>
      <c r="AC381" s="195"/>
      <c r="AD381" s="214"/>
      <c r="AE381" s="282"/>
      <c r="AF381" s="283"/>
      <c r="AG381" s="206">
        <v>0</v>
      </c>
      <c r="AH381" s="209"/>
      <c r="AI381" s="214"/>
      <c r="AJ381" s="203"/>
      <c r="AK381" s="206"/>
      <c r="AL381" s="206"/>
      <c r="AM381" s="196"/>
      <c r="AN381" s="214"/>
      <c r="AO381" s="203"/>
      <c r="AP381" s="206"/>
      <c r="AQ381" s="206"/>
      <c r="AR381" s="196"/>
      <c r="AS381" s="214"/>
      <c r="AT381" s="203"/>
      <c r="AU381" s="206"/>
      <c r="AV381" s="206"/>
      <c r="AW381" s="194"/>
      <c r="AX381" s="214"/>
      <c r="AY381" s="203"/>
      <c r="AZ381" s="204"/>
      <c r="BA381" s="193">
        <f t="shared" si="15"/>
        <v>0</v>
      </c>
      <c r="BB381" s="9"/>
    </row>
    <row r="382" spans="1:54" hidden="1" x14ac:dyDescent="0.35">
      <c r="A382" s="54"/>
      <c r="B382" s="301" t="s">
        <v>202</v>
      </c>
      <c r="C382" s="256"/>
      <c r="D382" s="202"/>
      <c r="E382" s="203"/>
      <c r="F382" s="206"/>
      <c r="G382" s="206"/>
      <c r="H382" s="256"/>
      <c r="I382" s="202"/>
      <c r="J382" s="203"/>
      <c r="K382" s="257"/>
      <c r="L382" s="206"/>
      <c r="M382" s="207"/>
      <c r="N382" s="202"/>
      <c r="O382" s="203"/>
      <c r="P382" s="206"/>
      <c r="Q382" s="206"/>
      <c r="R382" s="194"/>
      <c r="S382" s="202"/>
      <c r="T382" s="203"/>
      <c r="U382" s="206"/>
      <c r="V382" s="206"/>
      <c r="W382" s="194"/>
      <c r="X382" s="202"/>
      <c r="Y382" s="203"/>
      <c r="Z382" s="206"/>
      <c r="AA382" s="206"/>
      <c r="AB382" s="256"/>
      <c r="AC382" s="258"/>
      <c r="AD382" s="202"/>
      <c r="AE382" s="203"/>
      <c r="AF382" s="257"/>
      <c r="AG382" s="206"/>
      <c r="AH382" s="209"/>
      <c r="AI382" s="202"/>
      <c r="AJ382" s="203"/>
      <c r="AK382" s="206"/>
      <c r="AL382" s="206"/>
      <c r="AM382" s="196"/>
      <c r="AN382" s="202"/>
      <c r="AO382" s="203"/>
      <c r="AP382" s="206"/>
      <c r="AQ382" s="206"/>
      <c r="AR382" s="196"/>
      <c r="AS382" s="202"/>
      <c r="AT382" s="203"/>
      <c r="AU382" s="206"/>
      <c r="AV382" s="206"/>
      <c r="AW382" s="194"/>
      <c r="AX382" s="202"/>
      <c r="AY382" s="203"/>
      <c r="AZ382" s="206"/>
      <c r="BA382" s="193">
        <f t="shared" si="15"/>
        <v>0</v>
      </c>
      <c r="BB382" s="9"/>
    </row>
    <row r="383" spans="1:54" hidden="1" x14ac:dyDescent="0.35">
      <c r="A383" s="54"/>
      <c r="B383" s="302" t="s">
        <v>203</v>
      </c>
      <c r="C383" s="256"/>
      <c r="D383" s="202"/>
      <c r="E383" s="203">
        <v>0</v>
      </c>
      <c r="F383" s="204">
        <v>0</v>
      </c>
      <c r="G383" s="204">
        <v>0</v>
      </c>
      <c r="H383" s="256"/>
      <c r="I383" s="202"/>
      <c r="J383" s="203"/>
      <c r="K383" s="257"/>
      <c r="L383" s="206"/>
      <c r="M383" s="207"/>
      <c r="N383" s="202"/>
      <c r="O383" s="203"/>
      <c r="P383" s="206"/>
      <c r="Q383" s="206"/>
      <c r="R383" s="194"/>
      <c r="S383" s="202"/>
      <c r="T383" s="203"/>
      <c r="U383" s="206"/>
      <c r="V383" s="206"/>
      <c r="W383" s="194"/>
      <c r="X383" s="202"/>
      <c r="Y383" s="203"/>
      <c r="Z383" s="206"/>
      <c r="AA383" s="206"/>
      <c r="AB383" s="256"/>
      <c r="AC383" s="258"/>
      <c r="AD383" s="202"/>
      <c r="AE383" s="203"/>
      <c r="AF383" s="257"/>
      <c r="AG383" s="206"/>
      <c r="AH383" s="209"/>
      <c r="AI383" s="202"/>
      <c r="AJ383" s="203"/>
      <c r="AK383" s="206"/>
      <c r="AL383" s="206"/>
      <c r="AM383" s="196"/>
      <c r="AN383" s="202"/>
      <c r="AO383" s="203"/>
      <c r="AP383" s="206"/>
      <c r="AQ383" s="206"/>
      <c r="AR383" s="196"/>
      <c r="AS383" s="202"/>
      <c r="AT383" s="203"/>
      <c r="AU383" s="206"/>
      <c r="AV383" s="206"/>
      <c r="AW383" s="194"/>
      <c r="AX383" s="202"/>
      <c r="AY383" s="203"/>
      <c r="AZ383" s="204"/>
      <c r="BA383" s="193">
        <f t="shared" si="15"/>
        <v>0</v>
      </c>
      <c r="BB383" s="9"/>
    </row>
    <row r="384" spans="1:54" hidden="1" x14ac:dyDescent="0.35">
      <c r="A384" s="54"/>
      <c r="B384" s="302" t="s">
        <v>210</v>
      </c>
      <c r="C384" s="189"/>
      <c r="D384" s="202"/>
      <c r="E384" s="203">
        <v>0</v>
      </c>
      <c r="F384" s="204">
        <v>0</v>
      </c>
      <c r="G384" s="204">
        <v>0</v>
      </c>
      <c r="H384" s="189"/>
      <c r="I384" s="214"/>
      <c r="J384" s="203"/>
      <c r="K384" s="257"/>
      <c r="L384" s="206">
        <v>0</v>
      </c>
      <c r="M384" s="207"/>
      <c r="N384" s="214"/>
      <c r="O384" s="203"/>
      <c r="P384" s="206"/>
      <c r="Q384" s="206">
        <v>0</v>
      </c>
      <c r="R384" s="194"/>
      <c r="S384" s="202"/>
      <c r="T384" s="203"/>
      <c r="U384" s="206"/>
      <c r="V384" s="206"/>
      <c r="W384" s="194"/>
      <c r="X384" s="202"/>
      <c r="Y384" s="203"/>
      <c r="Z384" s="206"/>
      <c r="AA384" s="206"/>
      <c r="AB384" s="189"/>
      <c r="AC384" s="195"/>
      <c r="AD384" s="214"/>
      <c r="AE384" s="203"/>
      <c r="AF384" s="257"/>
      <c r="AG384" s="206"/>
      <c r="AH384" s="209"/>
      <c r="AI384" s="214"/>
      <c r="AJ384" s="203"/>
      <c r="AK384" s="206"/>
      <c r="AL384" s="206"/>
      <c r="AM384" s="196"/>
      <c r="AN384" s="202"/>
      <c r="AO384" s="203"/>
      <c r="AP384" s="206"/>
      <c r="AQ384" s="206"/>
      <c r="AR384" s="196"/>
      <c r="AS384" s="202"/>
      <c r="AT384" s="203"/>
      <c r="AU384" s="206"/>
      <c r="AV384" s="206"/>
      <c r="AW384" s="194"/>
      <c r="AX384" s="202"/>
      <c r="AY384" s="203"/>
      <c r="AZ384" s="204"/>
      <c r="BA384" s="193">
        <f t="shared" si="15"/>
        <v>0</v>
      </c>
      <c r="BB384" s="9"/>
    </row>
    <row r="385" spans="1:54" hidden="1" x14ac:dyDescent="0.35">
      <c r="A385" s="54"/>
      <c r="B385" s="302" t="s">
        <v>211</v>
      </c>
      <c r="C385" s="189"/>
      <c r="D385" s="214" t="s">
        <v>194</v>
      </c>
      <c r="E385" s="203">
        <v>0</v>
      </c>
      <c r="F385" s="204">
        <v>0</v>
      </c>
      <c r="G385" s="204">
        <v>0</v>
      </c>
      <c r="H385" s="189"/>
      <c r="I385" s="214"/>
      <c r="J385" s="282"/>
      <c r="K385" s="283"/>
      <c r="L385" s="206">
        <v>0</v>
      </c>
      <c r="M385" s="207"/>
      <c r="N385" s="214"/>
      <c r="O385" s="203"/>
      <c r="P385" s="281"/>
      <c r="Q385" s="206">
        <v>0</v>
      </c>
      <c r="R385" s="194"/>
      <c r="S385" s="202"/>
      <c r="T385" s="203"/>
      <c r="U385" s="206"/>
      <c r="V385" s="206"/>
      <c r="W385" s="194"/>
      <c r="X385" s="202"/>
      <c r="Y385" s="203"/>
      <c r="Z385" s="206"/>
      <c r="AA385" s="206"/>
      <c r="AB385" s="189"/>
      <c r="AC385" s="195"/>
      <c r="AD385" s="214"/>
      <c r="AE385" s="282"/>
      <c r="AF385" s="283"/>
      <c r="AG385" s="206"/>
      <c r="AH385" s="209"/>
      <c r="AI385" s="214"/>
      <c r="AJ385" s="203"/>
      <c r="AK385" s="281"/>
      <c r="AL385" s="206"/>
      <c r="AM385" s="196"/>
      <c r="AN385" s="202"/>
      <c r="AO385" s="203"/>
      <c r="AP385" s="206"/>
      <c r="AQ385" s="206"/>
      <c r="AR385" s="196"/>
      <c r="AS385" s="202"/>
      <c r="AT385" s="203"/>
      <c r="AU385" s="206"/>
      <c r="AV385" s="206"/>
      <c r="AW385" s="194"/>
      <c r="AX385" s="214"/>
      <c r="AY385" s="203"/>
      <c r="AZ385" s="204"/>
      <c r="BA385" s="193">
        <f t="shared" si="15"/>
        <v>0</v>
      </c>
      <c r="BB385" s="9"/>
    </row>
    <row r="386" spans="1:54" hidden="1" x14ac:dyDescent="0.35">
      <c r="A386" s="54"/>
      <c r="B386" s="302" t="s">
        <v>246</v>
      </c>
      <c r="C386" s="189"/>
      <c r="D386" s="202"/>
      <c r="E386" s="203">
        <v>0</v>
      </c>
      <c r="F386" s="204">
        <v>0</v>
      </c>
      <c r="G386" s="204">
        <v>0</v>
      </c>
      <c r="H386" s="189"/>
      <c r="I386" s="202"/>
      <c r="J386" s="203"/>
      <c r="K386" s="257"/>
      <c r="L386" s="206">
        <v>0</v>
      </c>
      <c r="M386" s="207"/>
      <c r="N386" s="202"/>
      <c r="O386" s="203"/>
      <c r="P386" s="206"/>
      <c r="Q386" s="206"/>
      <c r="R386" s="194"/>
      <c r="S386" s="202"/>
      <c r="T386" s="203"/>
      <c r="U386" s="206"/>
      <c r="V386" s="206"/>
      <c r="W386" s="194"/>
      <c r="X386" s="202"/>
      <c r="Y386" s="203"/>
      <c r="Z386" s="206"/>
      <c r="AA386" s="206"/>
      <c r="AB386" s="189"/>
      <c r="AC386" s="195"/>
      <c r="AD386" s="202"/>
      <c r="AE386" s="203"/>
      <c r="AF386" s="257"/>
      <c r="AG386" s="206"/>
      <c r="AH386" s="209"/>
      <c r="AI386" s="202"/>
      <c r="AJ386" s="203"/>
      <c r="AK386" s="206"/>
      <c r="AL386" s="206"/>
      <c r="AM386" s="196"/>
      <c r="AN386" s="202"/>
      <c r="AO386" s="203"/>
      <c r="AP386" s="206"/>
      <c r="AQ386" s="206"/>
      <c r="AR386" s="196"/>
      <c r="AS386" s="202"/>
      <c r="AT386" s="203"/>
      <c r="AU386" s="206"/>
      <c r="AV386" s="206"/>
      <c r="AW386" s="194"/>
      <c r="AX386" s="202"/>
      <c r="AY386" s="203"/>
      <c r="AZ386" s="204"/>
      <c r="BA386" s="193">
        <f t="shared" si="15"/>
        <v>0</v>
      </c>
      <c r="BB386" s="9"/>
    </row>
    <row r="387" spans="1:54" ht="43.5" x14ac:dyDescent="0.35">
      <c r="A387" s="54"/>
      <c r="B387" s="188" t="s">
        <v>304</v>
      </c>
      <c r="C387" s="189"/>
      <c r="D387" s="214" t="s">
        <v>192</v>
      </c>
      <c r="E387" s="203">
        <v>0</v>
      </c>
      <c r="F387" s="204">
        <v>0</v>
      </c>
      <c r="G387" s="204">
        <v>0</v>
      </c>
      <c r="H387" s="189"/>
      <c r="I387" s="214" t="s">
        <v>192</v>
      </c>
      <c r="J387" s="227">
        <v>0</v>
      </c>
      <c r="K387" s="284">
        <v>0</v>
      </c>
      <c r="L387" s="206">
        <v>0</v>
      </c>
      <c r="M387" s="207"/>
      <c r="N387" s="214" t="s">
        <v>192</v>
      </c>
      <c r="O387" s="203"/>
      <c r="P387" s="206"/>
      <c r="Q387" s="206">
        <v>0</v>
      </c>
      <c r="R387" s="194"/>
      <c r="S387" s="214" t="s">
        <v>192</v>
      </c>
      <c r="T387" s="203"/>
      <c r="U387" s="206"/>
      <c r="V387" s="206">
        <v>0</v>
      </c>
      <c r="W387" s="194"/>
      <c r="X387" s="214" t="s">
        <v>192</v>
      </c>
      <c r="Y387" s="203"/>
      <c r="Z387" s="206"/>
      <c r="AA387" s="206">
        <v>0</v>
      </c>
      <c r="AB387" s="189"/>
      <c r="AC387" s="195"/>
      <c r="AD387" s="214"/>
      <c r="AE387" s="227"/>
      <c r="AF387" s="284"/>
      <c r="AG387" s="206">
        <v>0</v>
      </c>
      <c r="AH387" s="209"/>
      <c r="AI387" s="214"/>
      <c r="AJ387" s="203"/>
      <c r="AK387" s="206"/>
      <c r="AL387" s="206"/>
      <c r="AM387" s="196"/>
      <c r="AN387" s="214"/>
      <c r="AO387" s="203"/>
      <c r="AP387" s="206"/>
      <c r="AQ387" s="206"/>
      <c r="AR387" s="196"/>
      <c r="AS387" s="214"/>
      <c r="AT387" s="203"/>
      <c r="AU387" s="206"/>
      <c r="AV387" s="206"/>
      <c r="AW387" s="194"/>
      <c r="AX387" s="214"/>
      <c r="AY387" s="203"/>
      <c r="AZ387" s="204"/>
      <c r="BA387" s="193">
        <f t="shared" si="15"/>
        <v>0</v>
      </c>
      <c r="BB387" s="9"/>
    </row>
    <row r="388" spans="1:54" ht="29" x14ac:dyDescent="0.35">
      <c r="A388" s="54"/>
      <c r="B388" s="188" t="s">
        <v>305</v>
      </c>
      <c r="C388" s="189"/>
      <c r="D388" s="214"/>
      <c r="E388" s="203"/>
      <c r="F388" s="204">
        <v>0</v>
      </c>
      <c r="G388" s="204">
        <f>G393</f>
        <v>6745.8690127554091</v>
      </c>
      <c r="H388" s="189"/>
      <c r="I388" s="214"/>
      <c r="J388" s="303"/>
      <c r="K388" s="304"/>
      <c r="L388" s="206">
        <f>L393</f>
        <v>6745.8690127554091</v>
      </c>
      <c r="M388" s="207"/>
      <c r="N388" s="214"/>
      <c r="O388" s="303"/>
      <c r="P388" s="305"/>
      <c r="Q388" s="206">
        <f>Q393</f>
        <v>0</v>
      </c>
      <c r="R388" s="194"/>
      <c r="S388" s="214"/>
      <c r="T388" s="303"/>
      <c r="U388" s="305"/>
      <c r="V388" s="206">
        <f>V393</f>
        <v>0</v>
      </c>
      <c r="W388" s="194"/>
      <c r="X388" s="214"/>
      <c r="Y388" s="303"/>
      <c r="Z388" s="305"/>
      <c r="AA388" s="206">
        <f>AA393</f>
        <v>0</v>
      </c>
      <c r="AB388" s="189"/>
      <c r="AC388" s="195"/>
      <c r="AD388" s="214"/>
      <c r="AE388" s="303"/>
      <c r="AF388" s="304"/>
      <c r="AG388" s="206">
        <v>3184.6610000000001</v>
      </c>
      <c r="AH388" s="209"/>
      <c r="AI388" s="214"/>
      <c r="AJ388" s="303"/>
      <c r="AK388" s="305"/>
      <c r="AL388" s="206"/>
      <c r="AM388" s="196"/>
      <c r="AN388" s="214"/>
      <c r="AO388" s="303"/>
      <c r="AP388" s="305"/>
      <c r="AQ388" s="206"/>
      <c r="AR388" s="196"/>
      <c r="AS388" s="214"/>
      <c r="AT388" s="303"/>
      <c r="AU388" s="305"/>
      <c r="AV388" s="206"/>
      <c r="AW388" s="194"/>
      <c r="AX388" s="214"/>
      <c r="AY388" s="203"/>
      <c r="AZ388" s="204"/>
      <c r="BA388" s="193">
        <f t="shared" si="15"/>
        <v>3184.6610000000001</v>
      </c>
      <c r="BB388" s="9"/>
    </row>
    <row r="389" spans="1:54" hidden="1" x14ac:dyDescent="0.35">
      <c r="A389" s="54"/>
      <c r="B389" s="180" t="s">
        <v>202</v>
      </c>
      <c r="C389" s="42"/>
      <c r="D389" s="199"/>
      <c r="E389" s="197"/>
      <c r="F389" s="146"/>
      <c r="G389" s="146"/>
      <c r="H389" s="42"/>
      <c r="I389" s="199"/>
      <c r="J389" s="197"/>
      <c r="K389" s="198"/>
      <c r="L389" s="146"/>
      <c r="M389" s="178"/>
      <c r="N389" s="199"/>
      <c r="O389" s="197"/>
      <c r="P389" s="146"/>
      <c r="Q389" s="146"/>
      <c r="R389" s="30"/>
      <c r="S389" s="199"/>
      <c r="T389" s="197"/>
      <c r="U389" s="146"/>
      <c r="V389" s="146"/>
      <c r="W389" s="30"/>
      <c r="X389" s="199"/>
      <c r="Y389" s="197"/>
      <c r="Z389" s="146"/>
      <c r="AA389" s="146"/>
      <c r="AB389" s="42"/>
      <c r="AC389" s="46"/>
      <c r="AD389" s="199"/>
      <c r="AE389" s="197"/>
      <c r="AF389" s="198"/>
      <c r="AG389" s="146"/>
      <c r="AH389" s="200"/>
      <c r="AI389" s="199"/>
      <c r="AJ389" s="197"/>
      <c r="AK389" s="146"/>
      <c r="AL389" s="146"/>
      <c r="AM389" s="32"/>
      <c r="AN389" s="199"/>
      <c r="AO389" s="197"/>
      <c r="AP389" s="146"/>
      <c r="AQ389" s="146"/>
      <c r="AR389" s="32"/>
      <c r="AS389" s="199"/>
      <c r="AT389" s="197"/>
      <c r="AU389" s="146"/>
      <c r="AV389" s="146"/>
      <c r="AW389" s="30"/>
      <c r="AX389" s="199"/>
      <c r="AY389" s="197"/>
      <c r="AZ389" s="146"/>
      <c r="BA389" s="56">
        <f t="shared" si="15"/>
        <v>0</v>
      </c>
      <c r="BB389" s="9"/>
    </row>
    <row r="390" spans="1:54" hidden="1" x14ac:dyDescent="0.35">
      <c r="A390" s="54"/>
      <c r="B390" s="55" t="s">
        <v>203</v>
      </c>
      <c r="C390" s="42"/>
      <c r="D390" s="199"/>
      <c r="E390" s="197">
        <v>0</v>
      </c>
      <c r="F390" s="177">
        <v>0</v>
      </c>
      <c r="G390" s="177">
        <v>0</v>
      </c>
      <c r="H390" s="42"/>
      <c r="I390" s="199"/>
      <c r="J390" s="197"/>
      <c r="K390" s="198"/>
      <c r="L390" s="146"/>
      <c r="M390" s="178"/>
      <c r="N390" s="199"/>
      <c r="O390" s="197"/>
      <c r="P390" s="146"/>
      <c r="Q390" s="146"/>
      <c r="R390" s="30"/>
      <c r="S390" s="199"/>
      <c r="T390" s="197"/>
      <c r="U390" s="146"/>
      <c r="V390" s="146"/>
      <c r="W390" s="30"/>
      <c r="X390" s="199"/>
      <c r="Y390" s="197"/>
      <c r="Z390" s="146"/>
      <c r="AA390" s="146"/>
      <c r="AB390" s="42"/>
      <c r="AC390" s="46"/>
      <c r="AD390" s="199"/>
      <c r="AE390" s="197"/>
      <c r="AF390" s="198"/>
      <c r="AG390" s="146"/>
      <c r="AH390" s="200"/>
      <c r="AI390" s="199"/>
      <c r="AJ390" s="197"/>
      <c r="AK390" s="146"/>
      <c r="AL390" s="146"/>
      <c r="AM390" s="32"/>
      <c r="AN390" s="199"/>
      <c r="AO390" s="197"/>
      <c r="AP390" s="146"/>
      <c r="AQ390" s="146"/>
      <c r="AR390" s="32"/>
      <c r="AS390" s="199"/>
      <c r="AT390" s="197"/>
      <c r="AU390" s="146"/>
      <c r="AV390" s="146"/>
      <c r="AW390" s="30"/>
      <c r="AX390" s="199"/>
      <c r="AY390" s="197"/>
      <c r="AZ390" s="177"/>
      <c r="BA390" s="56">
        <f t="shared" si="15"/>
        <v>0</v>
      </c>
      <c r="BB390" s="9"/>
    </row>
    <row r="391" spans="1:54" hidden="1" x14ac:dyDescent="0.35">
      <c r="A391" s="54"/>
      <c r="B391" s="55" t="s">
        <v>210</v>
      </c>
      <c r="C391" s="87"/>
      <c r="D391" s="176"/>
      <c r="E391" s="197">
        <v>0</v>
      </c>
      <c r="F391" s="177">
        <v>0</v>
      </c>
      <c r="G391" s="177">
        <v>0</v>
      </c>
      <c r="H391" s="87"/>
      <c r="I391" s="176"/>
      <c r="J391" s="291"/>
      <c r="K391" s="306"/>
      <c r="L391" s="146"/>
      <c r="M391" s="178"/>
      <c r="N391" s="176"/>
      <c r="O391" s="291"/>
      <c r="P391" s="307"/>
      <c r="Q391" s="146">
        <v>0</v>
      </c>
      <c r="R391" s="30"/>
      <c r="S391" s="176"/>
      <c r="T391" s="291"/>
      <c r="U391" s="307"/>
      <c r="V391" s="146">
        <v>0</v>
      </c>
      <c r="W391" s="30"/>
      <c r="X391" s="176"/>
      <c r="Y391" s="291"/>
      <c r="Z391" s="307"/>
      <c r="AA391" s="146">
        <v>0</v>
      </c>
      <c r="AB391" s="87"/>
      <c r="AC391" s="90"/>
      <c r="AD391" s="176"/>
      <c r="AE391" s="291"/>
      <c r="AF391" s="306"/>
      <c r="AG391" s="146"/>
      <c r="AH391" s="200"/>
      <c r="AI391" s="176"/>
      <c r="AJ391" s="291"/>
      <c r="AK391" s="307"/>
      <c r="AL391" s="146"/>
      <c r="AM391" s="32"/>
      <c r="AN391" s="176"/>
      <c r="AO391" s="291"/>
      <c r="AP391" s="307"/>
      <c r="AQ391" s="146"/>
      <c r="AR391" s="32"/>
      <c r="AS391" s="176"/>
      <c r="AT391" s="291"/>
      <c r="AU391" s="307"/>
      <c r="AV391" s="146"/>
      <c r="AW391" s="30"/>
      <c r="AX391" s="176"/>
      <c r="AY391" s="197"/>
      <c r="AZ391" s="177"/>
      <c r="BA391" s="56">
        <f t="shared" si="15"/>
        <v>0</v>
      </c>
      <c r="BB391" s="9"/>
    </row>
    <row r="392" spans="1:54" hidden="1" x14ac:dyDescent="0.35">
      <c r="A392" s="54"/>
      <c r="B392" s="55" t="s">
        <v>211</v>
      </c>
      <c r="C392" s="87"/>
      <c r="D392" s="176"/>
      <c r="E392" s="197">
        <v>0</v>
      </c>
      <c r="F392" s="177">
        <v>0</v>
      </c>
      <c r="G392" s="177">
        <v>0</v>
      </c>
      <c r="H392" s="87"/>
      <c r="I392" s="176"/>
      <c r="J392" s="291"/>
      <c r="K392" s="306"/>
      <c r="L392" s="146"/>
      <c r="M392" s="178"/>
      <c r="N392" s="176"/>
      <c r="O392" s="291"/>
      <c r="P392" s="307"/>
      <c r="Q392" s="146"/>
      <c r="R392" s="30"/>
      <c r="S392" s="176"/>
      <c r="T392" s="291"/>
      <c r="U392" s="307"/>
      <c r="V392" s="146"/>
      <c r="W392" s="30"/>
      <c r="X392" s="176"/>
      <c r="Y392" s="291"/>
      <c r="Z392" s="307"/>
      <c r="AA392" s="146"/>
      <c r="AB392" s="87"/>
      <c r="AC392" s="90"/>
      <c r="AD392" s="176"/>
      <c r="AE392" s="291"/>
      <c r="AF392" s="306"/>
      <c r="AG392" s="146"/>
      <c r="AH392" s="200"/>
      <c r="AI392" s="176"/>
      <c r="AJ392" s="291"/>
      <c r="AK392" s="307"/>
      <c r="AL392" s="146"/>
      <c r="AM392" s="32"/>
      <c r="AN392" s="176"/>
      <c r="AO392" s="291"/>
      <c r="AP392" s="307"/>
      <c r="AQ392" s="146"/>
      <c r="AR392" s="32"/>
      <c r="AS392" s="176"/>
      <c r="AT392" s="291"/>
      <c r="AU392" s="307"/>
      <c r="AV392" s="146"/>
      <c r="AW392" s="30"/>
      <c r="AX392" s="176"/>
      <c r="AY392" s="197"/>
      <c r="AZ392" s="177"/>
      <c r="BA392" s="56">
        <f t="shared" si="15"/>
        <v>0</v>
      </c>
      <c r="BB392" s="9"/>
    </row>
    <row r="393" spans="1:54" ht="29" x14ac:dyDescent="0.35">
      <c r="A393" s="54"/>
      <c r="B393" s="55" t="s">
        <v>306</v>
      </c>
      <c r="C393" s="87" t="s">
        <v>65</v>
      </c>
      <c r="D393" s="176" t="s">
        <v>189</v>
      </c>
      <c r="E393" s="197">
        <v>590</v>
      </c>
      <c r="F393" s="177">
        <v>11.433676292805778</v>
      </c>
      <c r="G393" s="177">
        <v>6745.8690127554091</v>
      </c>
      <c r="H393" s="87"/>
      <c r="I393" s="176" t="s">
        <v>189</v>
      </c>
      <c r="J393" s="296">
        <v>590</v>
      </c>
      <c r="K393" s="306">
        <v>11.433676292805778</v>
      </c>
      <c r="L393" s="146">
        <v>6745.8690127554091</v>
      </c>
      <c r="M393" s="178"/>
      <c r="N393" s="199"/>
      <c r="O393" s="197"/>
      <c r="P393" s="146"/>
      <c r="Q393" s="146"/>
      <c r="R393" s="30"/>
      <c r="S393" s="199"/>
      <c r="T393" s="197"/>
      <c r="U393" s="146"/>
      <c r="V393" s="146"/>
      <c r="W393" s="30"/>
      <c r="X393" s="199"/>
      <c r="Y393" s="197"/>
      <c r="Z393" s="146"/>
      <c r="AA393" s="146"/>
      <c r="AB393" s="87"/>
      <c r="AC393" s="90"/>
      <c r="AD393" s="176"/>
      <c r="AE393" s="296"/>
      <c r="AF393" s="306"/>
      <c r="AG393" s="146"/>
      <c r="AH393" s="200"/>
      <c r="AI393" s="199"/>
      <c r="AJ393" s="197"/>
      <c r="AK393" s="146"/>
      <c r="AL393" s="146"/>
      <c r="AM393" s="32"/>
      <c r="AN393" s="199"/>
      <c r="AO393" s="197"/>
      <c r="AP393" s="146"/>
      <c r="AQ393" s="146"/>
      <c r="AR393" s="32"/>
      <c r="AS393" s="199"/>
      <c r="AT393" s="197"/>
      <c r="AU393" s="146"/>
      <c r="AV393" s="146"/>
      <c r="AW393" s="30"/>
      <c r="AX393" s="176"/>
      <c r="AY393" s="197"/>
      <c r="AZ393" s="177"/>
      <c r="BA393" s="56">
        <f t="shared" si="15"/>
        <v>0</v>
      </c>
      <c r="BB393" s="9"/>
    </row>
    <row r="394" spans="1:54" ht="58" x14ac:dyDescent="0.35">
      <c r="A394" s="54"/>
      <c r="B394" s="188" t="s">
        <v>223</v>
      </c>
      <c r="C394" s="189"/>
      <c r="D394" s="308"/>
      <c r="E394" s="227"/>
      <c r="F394" s="231"/>
      <c r="G394" s="231"/>
      <c r="H394" s="221"/>
      <c r="I394" s="308"/>
      <c r="J394" s="227"/>
      <c r="K394" s="309"/>
      <c r="L394" s="231"/>
      <c r="M394" s="207"/>
      <c r="N394" s="308"/>
      <c r="O394" s="227"/>
      <c r="P394" s="231"/>
      <c r="Q394" s="231"/>
      <c r="R394" s="194"/>
      <c r="S394" s="308"/>
      <c r="T394" s="227"/>
      <c r="U394" s="231"/>
      <c r="V394" s="231"/>
      <c r="W394" s="194"/>
      <c r="X394" s="308"/>
      <c r="Y394" s="227"/>
      <c r="Z394" s="231"/>
      <c r="AA394" s="231"/>
      <c r="AB394" s="221"/>
      <c r="AC394" s="222"/>
      <c r="AD394" s="308"/>
      <c r="AE394" s="227"/>
      <c r="AF394" s="309"/>
      <c r="AG394" s="231">
        <v>0</v>
      </c>
      <c r="AH394" s="209"/>
      <c r="AI394" s="308"/>
      <c r="AJ394" s="227"/>
      <c r="AK394" s="231"/>
      <c r="AL394" s="231"/>
      <c r="AM394" s="196"/>
      <c r="AN394" s="308"/>
      <c r="AO394" s="227"/>
      <c r="AP394" s="231"/>
      <c r="AQ394" s="231"/>
      <c r="AR394" s="196"/>
      <c r="AS394" s="308"/>
      <c r="AT394" s="227"/>
      <c r="AU394" s="231"/>
      <c r="AV394" s="231"/>
      <c r="AW394" s="194"/>
      <c r="AX394" s="308"/>
      <c r="AY394" s="227"/>
      <c r="AZ394" s="231"/>
      <c r="BA394" s="193">
        <f t="shared" si="15"/>
        <v>0</v>
      </c>
      <c r="BB394" s="9"/>
    </row>
    <row r="395" spans="1:54" x14ac:dyDescent="0.35">
      <c r="A395" s="54"/>
      <c r="B395" s="188" t="s">
        <v>307</v>
      </c>
      <c r="C395" s="189"/>
      <c r="D395" s="202"/>
      <c r="E395" s="203">
        <v>0</v>
      </c>
      <c r="F395" s="204">
        <v>0</v>
      </c>
      <c r="G395" s="204">
        <v>0</v>
      </c>
      <c r="H395" s="189"/>
      <c r="I395" s="202"/>
      <c r="J395" s="203"/>
      <c r="K395" s="310"/>
      <c r="L395" s="206">
        <v>0</v>
      </c>
      <c r="M395" s="235"/>
      <c r="N395" s="202"/>
      <c r="O395" s="203"/>
      <c r="P395" s="206"/>
      <c r="Q395" s="206">
        <v>0</v>
      </c>
      <c r="R395" s="236"/>
      <c r="S395" s="202"/>
      <c r="T395" s="203"/>
      <c r="U395" s="206"/>
      <c r="V395" s="206">
        <v>0</v>
      </c>
      <c r="W395" s="236"/>
      <c r="X395" s="202"/>
      <c r="Y395" s="203"/>
      <c r="Z395" s="206"/>
      <c r="AA395" s="206">
        <v>0</v>
      </c>
      <c r="AB395" s="189"/>
      <c r="AC395" s="195"/>
      <c r="AD395" s="202"/>
      <c r="AE395" s="203"/>
      <c r="AF395" s="310"/>
      <c r="AG395" s="206">
        <v>0</v>
      </c>
      <c r="AH395" s="237"/>
      <c r="AI395" s="202"/>
      <c r="AJ395" s="203"/>
      <c r="AK395" s="206"/>
      <c r="AL395" s="206"/>
      <c r="AM395" s="238"/>
      <c r="AN395" s="202"/>
      <c r="AO395" s="203"/>
      <c r="AP395" s="206"/>
      <c r="AQ395" s="206"/>
      <c r="AR395" s="238"/>
      <c r="AS395" s="202"/>
      <c r="AT395" s="203"/>
      <c r="AU395" s="206"/>
      <c r="AV395" s="206"/>
      <c r="AW395" s="236"/>
      <c r="AX395" s="202"/>
      <c r="AY395" s="203"/>
      <c r="AZ395" s="204"/>
      <c r="BA395" s="193">
        <f t="shared" si="15"/>
        <v>0</v>
      </c>
      <c r="BB395" s="9"/>
    </row>
    <row r="396" spans="1:54" ht="29" x14ac:dyDescent="0.35">
      <c r="A396" s="54"/>
      <c r="B396" s="188" t="s">
        <v>228</v>
      </c>
      <c r="C396" s="189"/>
      <c r="D396" s="214" t="s">
        <v>227</v>
      </c>
      <c r="E396" s="203">
        <v>0</v>
      </c>
      <c r="F396" s="204">
        <v>0</v>
      </c>
      <c r="G396" s="204">
        <f>SUM(G399:G403)</f>
        <v>6448.5934291424601</v>
      </c>
      <c r="H396" s="189"/>
      <c r="I396" s="214"/>
      <c r="J396" s="225"/>
      <c r="K396" s="205"/>
      <c r="L396" s="206">
        <f>SUM(L399:L403)</f>
        <v>3087.0925990575606</v>
      </c>
      <c r="M396" s="235"/>
      <c r="N396" s="214"/>
      <c r="O396" s="203"/>
      <c r="P396" s="206"/>
      <c r="Q396" s="206">
        <f>SUM(Q399:Q403)</f>
        <v>2149.5311430474862</v>
      </c>
      <c r="R396" s="236"/>
      <c r="S396" s="214" t="s">
        <v>227</v>
      </c>
      <c r="T396" s="203"/>
      <c r="U396" s="206"/>
      <c r="V396" s="206">
        <f>SUM(V399:V403)</f>
        <v>1211.9696870374123</v>
      </c>
      <c r="W396" s="236"/>
      <c r="X396" s="214" t="s">
        <v>227</v>
      </c>
      <c r="Y396" s="203"/>
      <c r="Z396" s="206"/>
      <c r="AA396" s="206">
        <f>SUM(AA399:AA403)</f>
        <v>0</v>
      </c>
      <c r="AB396" s="189"/>
      <c r="AC396" s="195"/>
      <c r="AD396" s="214"/>
      <c r="AE396" s="225"/>
      <c r="AF396" s="205"/>
      <c r="AG396" s="206">
        <v>0</v>
      </c>
      <c r="AH396" s="237"/>
      <c r="AI396" s="214"/>
      <c r="AJ396" s="203"/>
      <c r="AK396" s="206"/>
      <c r="AL396" s="206"/>
      <c r="AM396" s="238"/>
      <c r="AN396" s="214"/>
      <c r="AO396" s="203"/>
      <c r="AP396" s="206"/>
      <c r="AQ396" s="206"/>
      <c r="AR396" s="238"/>
      <c r="AS396" s="214"/>
      <c r="AT396" s="203"/>
      <c r="AU396" s="206"/>
      <c r="AV396" s="206"/>
      <c r="AW396" s="236"/>
      <c r="AX396" s="214"/>
      <c r="AY396" s="203"/>
      <c r="AZ396" s="204"/>
      <c r="BA396" s="193">
        <f t="shared" si="15"/>
        <v>0</v>
      </c>
      <c r="BB396" s="9"/>
    </row>
    <row r="397" spans="1:54" hidden="1" x14ac:dyDescent="0.35">
      <c r="A397" s="54"/>
      <c r="B397" s="311" t="s">
        <v>202</v>
      </c>
      <c r="C397" s="42"/>
      <c r="D397" s="176" t="s">
        <v>227</v>
      </c>
      <c r="E397" s="197">
        <v>0</v>
      </c>
      <c r="F397" s="177">
        <v>0</v>
      </c>
      <c r="G397" s="177">
        <v>0</v>
      </c>
      <c r="H397" s="42"/>
      <c r="I397" s="176"/>
      <c r="J397" s="234"/>
      <c r="K397" s="312"/>
      <c r="L397" s="146">
        <v>0</v>
      </c>
      <c r="M397" s="232"/>
      <c r="N397" s="176"/>
      <c r="O397" s="197"/>
      <c r="P397" s="146"/>
      <c r="Q397" s="146">
        <v>0</v>
      </c>
      <c r="R397" s="114"/>
      <c r="S397" s="176" t="s">
        <v>227</v>
      </c>
      <c r="T397" s="197"/>
      <c r="U397" s="146"/>
      <c r="V397" s="146">
        <v>0</v>
      </c>
      <c r="W397" s="114"/>
      <c r="X397" s="176" t="s">
        <v>227</v>
      </c>
      <c r="Y397" s="197"/>
      <c r="Z397" s="146"/>
      <c r="AA397" s="146">
        <v>0</v>
      </c>
      <c r="AB397" s="42"/>
      <c r="AC397" s="46"/>
      <c r="AD397" s="176"/>
      <c r="AE397" s="234"/>
      <c r="AF397" s="312"/>
      <c r="AG397" s="146"/>
      <c r="AH397" s="233"/>
      <c r="AI397" s="176"/>
      <c r="AJ397" s="197"/>
      <c r="AK397" s="146"/>
      <c r="AL397" s="146"/>
      <c r="AM397" s="116"/>
      <c r="AN397" s="176"/>
      <c r="AO397" s="197"/>
      <c r="AP397" s="146"/>
      <c r="AQ397" s="146"/>
      <c r="AR397" s="116"/>
      <c r="AS397" s="176"/>
      <c r="AT397" s="197"/>
      <c r="AU397" s="146"/>
      <c r="AV397" s="146"/>
      <c r="AW397" s="114"/>
      <c r="AX397" s="176"/>
      <c r="AY397" s="197"/>
      <c r="AZ397" s="177"/>
      <c r="BA397" s="56">
        <f t="shared" si="15"/>
        <v>0</v>
      </c>
      <c r="BB397" s="9"/>
    </row>
    <row r="398" spans="1:54" hidden="1" x14ac:dyDescent="0.35">
      <c r="A398" s="54"/>
      <c r="B398" s="313" t="s">
        <v>203</v>
      </c>
      <c r="C398" s="42"/>
      <c r="D398" s="199"/>
      <c r="E398" s="197">
        <v>0</v>
      </c>
      <c r="F398" s="146"/>
      <c r="G398" s="177">
        <v>0</v>
      </c>
      <c r="H398" s="42"/>
      <c r="I398" s="199"/>
      <c r="J398" s="197"/>
      <c r="K398" s="198"/>
      <c r="L398" s="146">
        <v>0</v>
      </c>
      <c r="M398" s="232"/>
      <c r="N398" s="199"/>
      <c r="O398" s="197"/>
      <c r="P398" s="146"/>
      <c r="Q398" s="146">
        <v>0</v>
      </c>
      <c r="R398" s="114"/>
      <c r="S398" s="199"/>
      <c r="T398" s="197"/>
      <c r="U398" s="146"/>
      <c r="V398" s="146">
        <v>0</v>
      </c>
      <c r="W398" s="114"/>
      <c r="X398" s="199"/>
      <c r="Y398" s="197"/>
      <c r="Z398" s="146"/>
      <c r="AA398" s="146">
        <v>0</v>
      </c>
      <c r="AB398" s="42"/>
      <c r="AC398" s="46"/>
      <c r="AD398" s="199"/>
      <c r="AE398" s="197"/>
      <c r="AF398" s="198"/>
      <c r="AG398" s="146"/>
      <c r="AH398" s="233"/>
      <c r="AI398" s="199"/>
      <c r="AJ398" s="197"/>
      <c r="AK398" s="146"/>
      <c r="AL398" s="146"/>
      <c r="AM398" s="116"/>
      <c r="AN398" s="199"/>
      <c r="AO398" s="197"/>
      <c r="AP398" s="146"/>
      <c r="AQ398" s="146"/>
      <c r="AR398" s="116"/>
      <c r="AS398" s="199"/>
      <c r="AT398" s="197"/>
      <c r="AU398" s="146"/>
      <c r="AV398" s="146"/>
      <c r="AW398" s="114"/>
      <c r="AX398" s="199"/>
      <c r="AY398" s="197"/>
      <c r="AZ398" s="146"/>
      <c r="BA398" s="56">
        <f t="shared" si="15"/>
        <v>0</v>
      </c>
      <c r="BB398" s="9"/>
    </row>
    <row r="399" spans="1:54" x14ac:dyDescent="0.35">
      <c r="A399" s="54"/>
      <c r="B399" s="313" t="s">
        <v>308</v>
      </c>
      <c r="C399" s="87" t="s">
        <v>309</v>
      </c>
      <c r="D399" s="199"/>
      <c r="E399" s="197">
        <v>0</v>
      </c>
      <c r="F399" s="177">
        <v>0</v>
      </c>
      <c r="G399" s="177">
        <v>2286.7352585611557</v>
      </c>
      <c r="H399" s="87"/>
      <c r="I399" s="199"/>
      <c r="J399" s="197"/>
      <c r="K399" s="198"/>
      <c r="L399" s="146">
        <v>1143.3676292805778</v>
      </c>
      <c r="M399" s="232"/>
      <c r="N399" s="199"/>
      <c r="O399" s="197"/>
      <c r="P399" s="146"/>
      <c r="Q399" s="146">
        <v>762.24508618705181</v>
      </c>
      <c r="R399" s="114"/>
      <c r="S399" s="199"/>
      <c r="T399" s="197"/>
      <c r="U399" s="146"/>
      <c r="V399" s="146">
        <v>381.12254309352591</v>
      </c>
      <c r="W399" s="114"/>
      <c r="X399" s="199"/>
      <c r="Y399" s="197"/>
      <c r="Z399" s="146"/>
      <c r="AA399" s="146">
        <v>0</v>
      </c>
      <c r="AB399" s="87"/>
      <c r="AC399" s="90"/>
      <c r="AD399" s="199"/>
      <c r="AE399" s="197"/>
      <c r="AF399" s="198"/>
      <c r="AG399" s="146"/>
      <c r="AH399" s="233"/>
      <c r="AI399" s="199"/>
      <c r="AJ399" s="197"/>
      <c r="AK399" s="146"/>
      <c r="AL399" s="146"/>
      <c r="AM399" s="116"/>
      <c r="AN399" s="199"/>
      <c r="AO399" s="197"/>
      <c r="AP399" s="146"/>
      <c r="AQ399" s="146"/>
      <c r="AR399" s="116"/>
      <c r="AS399" s="199"/>
      <c r="AT399" s="197"/>
      <c r="AU399" s="146"/>
      <c r="AV399" s="146"/>
      <c r="AW399" s="114"/>
      <c r="AX399" s="199"/>
      <c r="AY399" s="197"/>
      <c r="AZ399" s="177"/>
      <c r="BA399" s="56">
        <f t="shared" si="15"/>
        <v>0</v>
      </c>
      <c r="BB399" s="9"/>
    </row>
    <row r="400" spans="1:54" x14ac:dyDescent="0.35">
      <c r="A400" s="54"/>
      <c r="B400" s="313" t="s">
        <v>310</v>
      </c>
      <c r="C400" s="87" t="s">
        <v>309</v>
      </c>
      <c r="D400" s="176" t="s">
        <v>230</v>
      </c>
      <c r="E400" s="197">
        <v>60</v>
      </c>
      <c r="F400" s="177">
        <v>38.112254309352593</v>
      </c>
      <c r="G400" s="177">
        <v>2789.8170154446098</v>
      </c>
      <c r="H400" s="87"/>
      <c r="I400" s="176" t="s">
        <v>230</v>
      </c>
      <c r="J400" s="234">
        <v>30</v>
      </c>
      <c r="K400" s="198">
        <v>38.112254309352593</v>
      </c>
      <c r="L400" s="146">
        <v>1394.9085077223049</v>
      </c>
      <c r="M400" s="232"/>
      <c r="N400" s="176" t="s">
        <v>230</v>
      </c>
      <c r="O400" s="234">
        <v>20</v>
      </c>
      <c r="P400" s="198">
        <v>38.112254309352593</v>
      </c>
      <c r="Q400" s="146">
        <v>929.93900514820325</v>
      </c>
      <c r="R400" s="114"/>
      <c r="S400" s="176" t="s">
        <v>230</v>
      </c>
      <c r="T400" s="234">
        <v>10</v>
      </c>
      <c r="U400" s="198">
        <v>38.112254309352593</v>
      </c>
      <c r="V400" s="146">
        <v>464.96950257410163</v>
      </c>
      <c r="W400" s="114"/>
      <c r="X400" s="199"/>
      <c r="Y400" s="197"/>
      <c r="Z400" s="146"/>
      <c r="AA400" s="146">
        <v>0</v>
      </c>
      <c r="AB400" s="87"/>
      <c r="AC400" s="90"/>
      <c r="AD400" s="176"/>
      <c r="AE400" s="234"/>
      <c r="AF400" s="198"/>
      <c r="AG400" s="146"/>
      <c r="AH400" s="233"/>
      <c r="AI400" s="176"/>
      <c r="AJ400" s="234"/>
      <c r="AK400" s="198"/>
      <c r="AL400" s="146"/>
      <c r="AM400" s="116"/>
      <c r="AN400" s="176"/>
      <c r="AO400" s="234"/>
      <c r="AP400" s="198"/>
      <c r="AQ400" s="146"/>
      <c r="AR400" s="116"/>
      <c r="AS400" s="199"/>
      <c r="AT400" s="197"/>
      <c r="AU400" s="146"/>
      <c r="AV400" s="146"/>
      <c r="AW400" s="114"/>
      <c r="AX400" s="176"/>
      <c r="AY400" s="197"/>
      <c r="AZ400" s="177"/>
      <c r="BA400" s="56">
        <f t="shared" si="15"/>
        <v>0</v>
      </c>
      <c r="BB400" s="9"/>
    </row>
    <row r="401" spans="1:54" x14ac:dyDescent="0.35">
      <c r="A401" s="54"/>
      <c r="B401" s="313" t="s">
        <v>232</v>
      </c>
      <c r="C401" s="87" t="s">
        <v>309</v>
      </c>
      <c r="D401" s="176" t="s">
        <v>230</v>
      </c>
      <c r="E401" s="197">
        <v>60</v>
      </c>
      <c r="F401" s="177">
        <v>46.496950257410163</v>
      </c>
      <c r="G401" s="177">
        <v>91.469410342446224</v>
      </c>
      <c r="H401" s="87"/>
      <c r="I401" s="176" t="s">
        <v>230</v>
      </c>
      <c r="J401" s="234">
        <v>30</v>
      </c>
      <c r="K401" s="198">
        <v>46.496950257410163</v>
      </c>
      <c r="L401" s="146">
        <v>45.734705171223112</v>
      </c>
      <c r="M401" s="232"/>
      <c r="N401" s="176" t="s">
        <v>230</v>
      </c>
      <c r="O401" s="234">
        <v>20</v>
      </c>
      <c r="P401" s="198">
        <v>46.496950257410163</v>
      </c>
      <c r="Q401" s="146">
        <v>30.489803447482075</v>
      </c>
      <c r="R401" s="114"/>
      <c r="S401" s="176" t="s">
        <v>230</v>
      </c>
      <c r="T401" s="234">
        <v>10</v>
      </c>
      <c r="U401" s="198">
        <v>46.496950257410163</v>
      </c>
      <c r="V401" s="146">
        <v>15.244901723741037</v>
      </c>
      <c r="W401" s="114"/>
      <c r="X401" s="199"/>
      <c r="Y401" s="197"/>
      <c r="Z401" s="146"/>
      <c r="AA401" s="146">
        <v>0</v>
      </c>
      <c r="AB401" s="87"/>
      <c r="AC401" s="90"/>
      <c r="AD401" s="176"/>
      <c r="AE401" s="234"/>
      <c r="AF401" s="198"/>
      <c r="AG401" s="146"/>
      <c r="AH401" s="233"/>
      <c r="AI401" s="176"/>
      <c r="AJ401" s="234"/>
      <c r="AK401" s="198"/>
      <c r="AL401" s="146"/>
      <c r="AM401" s="116"/>
      <c r="AN401" s="176"/>
      <c r="AO401" s="234"/>
      <c r="AP401" s="198"/>
      <c r="AQ401" s="146"/>
      <c r="AR401" s="116"/>
      <c r="AS401" s="199"/>
      <c r="AT401" s="197"/>
      <c r="AU401" s="146"/>
      <c r="AV401" s="146"/>
      <c r="AW401" s="114"/>
      <c r="AX401" s="176"/>
      <c r="AY401" s="197"/>
      <c r="AZ401" s="177"/>
      <c r="BA401" s="56">
        <f t="shared" si="15"/>
        <v>0</v>
      </c>
      <c r="BB401" s="9"/>
    </row>
    <row r="402" spans="1:54" x14ac:dyDescent="0.35">
      <c r="A402" s="54"/>
      <c r="B402" s="314" t="s">
        <v>233</v>
      </c>
      <c r="C402" s="87" t="s">
        <v>309</v>
      </c>
      <c r="D402" s="176" t="s">
        <v>70</v>
      </c>
      <c r="E402" s="197">
        <v>60</v>
      </c>
      <c r="F402" s="177">
        <v>1.5244901723741038</v>
      </c>
      <c r="G402" s="177">
        <v>457.34705171223112</v>
      </c>
      <c r="H402" s="87"/>
      <c r="I402" s="176" t="s">
        <v>70</v>
      </c>
      <c r="J402" s="234">
        <v>30</v>
      </c>
      <c r="K402" s="198">
        <v>1.5244901723741038</v>
      </c>
      <c r="L402" s="146">
        <v>228.67352585611556</v>
      </c>
      <c r="M402" s="232"/>
      <c r="N402" s="176" t="s">
        <v>70</v>
      </c>
      <c r="O402" s="234">
        <v>20</v>
      </c>
      <c r="P402" s="198">
        <v>1.5244901723741038</v>
      </c>
      <c r="Q402" s="146">
        <v>152.44901723741037</v>
      </c>
      <c r="R402" s="114"/>
      <c r="S402" s="176" t="s">
        <v>70</v>
      </c>
      <c r="T402" s="234">
        <v>10</v>
      </c>
      <c r="U402" s="198">
        <v>1.5244901723741038</v>
      </c>
      <c r="V402" s="146">
        <v>76.224508618705187</v>
      </c>
      <c r="W402" s="114"/>
      <c r="X402" s="199"/>
      <c r="Y402" s="197"/>
      <c r="Z402" s="146"/>
      <c r="AA402" s="146">
        <v>0</v>
      </c>
      <c r="AB402" s="87"/>
      <c r="AC402" s="90"/>
      <c r="AD402" s="176"/>
      <c r="AE402" s="234"/>
      <c r="AF402" s="198"/>
      <c r="AG402" s="146"/>
      <c r="AH402" s="233"/>
      <c r="AI402" s="176"/>
      <c r="AJ402" s="234"/>
      <c r="AK402" s="198"/>
      <c r="AL402" s="146"/>
      <c r="AM402" s="116"/>
      <c r="AN402" s="176"/>
      <c r="AO402" s="234"/>
      <c r="AP402" s="198"/>
      <c r="AQ402" s="146"/>
      <c r="AR402" s="116"/>
      <c r="AS402" s="199"/>
      <c r="AT402" s="197"/>
      <c r="AU402" s="146"/>
      <c r="AV402" s="146"/>
      <c r="AW402" s="114"/>
      <c r="AX402" s="176"/>
      <c r="AY402" s="197"/>
      <c r="AZ402" s="177"/>
      <c r="BA402" s="56">
        <f t="shared" si="15"/>
        <v>0</v>
      </c>
      <c r="BB402" s="9"/>
    </row>
    <row r="403" spans="1:54" x14ac:dyDescent="0.35">
      <c r="A403" s="54"/>
      <c r="B403" s="314" t="s">
        <v>234</v>
      </c>
      <c r="C403" s="87" t="s">
        <v>309</v>
      </c>
      <c r="D403" s="176" t="s">
        <v>56</v>
      </c>
      <c r="E403" s="197">
        <v>60</v>
      </c>
      <c r="F403" s="177">
        <v>7.6224508618705187</v>
      </c>
      <c r="G403" s="177">
        <v>823.22469308201607</v>
      </c>
      <c r="H403" s="87"/>
      <c r="I403" s="176" t="s">
        <v>214</v>
      </c>
      <c r="J403" s="234">
        <v>30</v>
      </c>
      <c r="K403" s="198">
        <v>7.6224508618705187</v>
      </c>
      <c r="L403" s="146">
        <v>274.40823102733867</v>
      </c>
      <c r="M403" s="232"/>
      <c r="N403" s="176" t="s">
        <v>214</v>
      </c>
      <c r="O403" s="234">
        <v>20</v>
      </c>
      <c r="P403" s="198">
        <v>7.6224508618705187</v>
      </c>
      <c r="Q403" s="146">
        <v>274.40823102733867</v>
      </c>
      <c r="R403" s="114"/>
      <c r="S403" s="176" t="s">
        <v>214</v>
      </c>
      <c r="T403" s="234">
        <v>10</v>
      </c>
      <c r="U403" s="198">
        <v>7.6224508618705187</v>
      </c>
      <c r="V403" s="146">
        <v>274.40823102733867</v>
      </c>
      <c r="W403" s="114"/>
      <c r="X403" s="199"/>
      <c r="Y403" s="197"/>
      <c r="Z403" s="146"/>
      <c r="AA403" s="146">
        <v>0</v>
      </c>
      <c r="AB403" s="87"/>
      <c r="AC403" s="90"/>
      <c r="AD403" s="176"/>
      <c r="AE403" s="234"/>
      <c r="AF403" s="198"/>
      <c r="AG403" s="146"/>
      <c r="AH403" s="233"/>
      <c r="AI403" s="176"/>
      <c r="AJ403" s="234"/>
      <c r="AK403" s="198"/>
      <c r="AL403" s="146"/>
      <c r="AM403" s="116"/>
      <c r="AN403" s="176"/>
      <c r="AO403" s="234"/>
      <c r="AP403" s="198"/>
      <c r="AQ403" s="146"/>
      <c r="AR403" s="116"/>
      <c r="AS403" s="199"/>
      <c r="AT403" s="197"/>
      <c r="AU403" s="146"/>
      <c r="AV403" s="146"/>
      <c r="AW403" s="114"/>
      <c r="AX403" s="176"/>
      <c r="AY403" s="197"/>
      <c r="AZ403" s="177"/>
      <c r="BA403" s="56">
        <f t="shared" si="15"/>
        <v>0</v>
      </c>
      <c r="BB403" s="9"/>
    </row>
    <row r="404" spans="1:54" ht="19.5" customHeight="1" x14ac:dyDescent="0.35">
      <c r="A404" s="54"/>
      <c r="B404" s="188" t="s">
        <v>311</v>
      </c>
      <c r="C404" s="189"/>
      <c r="D404" s="214" t="s">
        <v>56</v>
      </c>
      <c r="E404" s="203">
        <v>18</v>
      </c>
      <c r="F404" s="204">
        <v>45.734705171223112</v>
      </c>
      <c r="G404" s="204">
        <f>SUM(G405:G413)</f>
        <v>353472.10259209067</v>
      </c>
      <c r="H404" s="189"/>
      <c r="I404" s="214" t="s">
        <v>56</v>
      </c>
      <c r="J404" s="225">
        <v>6</v>
      </c>
      <c r="K404" s="257">
        <v>45.734705171223112</v>
      </c>
      <c r="L404" s="206">
        <f>SUM(L405:L413)</f>
        <v>244951.26967164001</v>
      </c>
      <c r="M404" s="235"/>
      <c r="N404" s="214" t="s">
        <v>56</v>
      </c>
      <c r="O404" s="225">
        <v>6</v>
      </c>
      <c r="P404" s="257">
        <v>45.734705171223112</v>
      </c>
      <c r="Q404" s="206">
        <f>SUM(Q405:Q413)</f>
        <v>81907.045736229658</v>
      </c>
      <c r="R404" s="236"/>
      <c r="S404" s="202" t="s">
        <v>56</v>
      </c>
      <c r="T404" s="203">
        <v>6</v>
      </c>
      <c r="U404" s="206">
        <v>45.734705171223112</v>
      </c>
      <c r="V404" s="206">
        <f>SUM(V405:V413)</f>
        <v>26613.787184220921</v>
      </c>
      <c r="W404" s="236"/>
      <c r="X404" s="202"/>
      <c r="Y404" s="203"/>
      <c r="Z404" s="206"/>
      <c r="AA404" s="206">
        <f>SUM(AA405:AA413)</f>
        <v>0</v>
      </c>
      <c r="AB404" s="189"/>
      <c r="AC404" s="195"/>
      <c r="AD404" s="214"/>
      <c r="AE404" s="225"/>
      <c r="AF404" s="257"/>
      <c r="AG404" s="206">
        <v>25463.397000000001</v>
      </c>
      <c r="AH404" s="237"/>
      <c r="AI404" s="214"/>
      <c r="AJ404" s="225"/>
      <c r="AK404" s="257"/>
      <c r="AL404" s="206"/>
      <c r="AM404" s="238"/>
      <c r="AN404" s="202"/>
      <c r="AO404" s="203"/>
      <c r="AP404" s="206"/>
      <c r="AQ404" s="206"/>
      <c r="AR404" s="238"/>
      <c r="AS404" s="202"/>
      <c r="AT404" s="203"/>
      <c r="AU404" s="206"/>
      <c r="AV404" s="206"/>
      <c r="AW404" s="236"/>
      <c r="AX404" s="214"/>
      <c r="AY404" s="203"/>
      <c r="AZ404" s="204"/>
      <c r="BA404" s="193">
        <f t="shared" si="15"/>
        <v>25463.397000000001</v>
      </c>
      <c r="BB404" s="9"/>
    </row>
    <row r="405" spans="1:54" x14ac:dyDescent="0.35">
      <c r="A405" s="54"/>
      <c r="B405" s="311" t="s">
        <v>202</v>
      </c>
      <c r="C405" s="42"/>
      <c r="D405" s="176" t="s">
        <v>227</v>
      </c>
      <c r="E405" s="197">
        <v>0</v>
      </c>
      <c r="F405" s="177">
        <v>0</v>
      </c>
      <c r="G405" s="177">
        <v>0</v>
      </c>
      <c r="H405" s="42"/>
      <c r="I405" s="176"/>
      <c r="J405" s="234"/>
      <c r="K405" s="312"/>
      <c r="L405" s="146">
        <v>0</v>
      </c>
      <c r="M405" s="232"/>
      <c r="N405" s="176"/>
      <c r="O405" s="197"/>
      <c r="P405" s="146"/>
      <c r="Q405" s="146">
        <v>0</v>
      </c>
      <c r="R405" s="114"/>
      <c r="S405" s="176" t="s">
        <v>227</v>
      </c>
      <c r="T405" s="197"/>
      <c r="U405" s="146"/>
      <c r="V405" s="146">
        <v>0</v>
      </c>
      <c r="W405" s="114"/>
      <c r="X405" s="176" t="s">
        <v>227</v>
      </c>
      <c r="Y405" s="197"/>
      <c r="Z405" s="146"/>
      <c r="AA405" s="146">
        <v>0</v>
      </c>
      <c r="AB405" s="42"/>
      <c r="AC405" s="46"/>
      <c r="AD405" s="176"/>
      <c r="AE405" s="234"/>
      <c r="AF405" s="312"/>
      <c r="AG405" s="146"/>
      <c r="AH405" s="233"/>
      <c r="AI405" s="176"/>
      <c r="AJ405" s="197"/>
      <c r="AK405" s="146"/>
      <c r="AL405" s="146"/>
      <c r="AM405" s="116"/>
      <c r="AN405" s="176"/>
      <c r="AO405" s="197"/>
      <c r="AP405" s="146"/>
      <c r="AQ405" s="146"/>
      <c r="AR405" s="116"/>
      <c r="AS405" s="176"/>
      <c r="AT405" s="197"/>
      <c r="AU405" s="146"/>
      <c r="AV405" s="146"/>
      <c r="AW405" s="114"/>
      <c r="AX405" s="176"/>
      <c r="AY405" s="197"/>
      <c r="AZ405" s="177"/>
      <c r="BA405" s="56">
        <f t="shared" si="15"/>
        <v>0</v>
      </c>
      <c r="BB405" s="9"/>
    </row>
    <row r="406" spans="1:54" ht="31.5" customHeight="1" x14ac:dyDescent="0.35">
      <c r="A406" s="54"/>
      <c r="B406" s="313" t="s">
        <v>203</v>
      </c>
      <c r="C406" s="42"/>
      <c r="D406" s="199"/>
      <c r="E406" s="197">
        <v>0</v>
      </c>
      <c r="F406" s="146"/>
      <c r="G406" s="177">
        <v>0</v>
      </c>
      <c r="H406" s="42"/>
      <c r="I406" s="199"/>
      <c r="J406" s="197"/>
      <c r="K406" s="198"/>
      <c r="L406" s="146">
        <v>0</v>
      </c>
      <c r="M406" s="232"/>
      <c r="N406" s="199"/>
      <c r="O406" s="197"/>
      <c r="P406" s="146"/>
      <c r="Q406" s="146">
        <v>0</v>
      </c>
      <c r="R406" s="114"/>
      <c r="S406" s="199"/>
      <c r="T406" s="197"/>
      <c r="U406" s="146"/>
      <c r="V406" s="146">
        <v>0</v>
      </c>
      <c r="W406" s="114"/>
      <c r="X406" s="199"/>
      <c r="Y406" s="197"/>
      <c r="Z406" s="146"/>
      <c r="AA406" s="146">
        <v>0</v>
      </c>
      <c r="AB406" s="42"/>
      <c r="AC406" s="46"/>
      <c r="AD406" s="199"/>
      <c r="AE406" s="197"/>
      <c r="AF406" s="198"/>
      <c r="AG406" s="146"/>
      <c r="AH406" s="233"/>
      <c r="AI406" s="199"/>
      <c r="AJ406" s="197"/>
      <c r="AK406" s="146"/>
      <c r="AL406" s="146"/>
      <c r="AM406" s="116"/>
      <c r="AN406" s="199"/>
      <c r="AO406" s="197"/>
      <c r="AP406" s="146"/>
      <c r="AQ406" s="146"/>
      <c r="AR406" s="116"/>
      <c r="AS406" s="199"/>
      <c r="AT406" s="197"/>
      <c r="AU406" s="146"/>
      <c r="AV406" s="146"/>
      <c r="AW406" s="114"/>
      <c r="AX406" s="199"/>
      <c r="AY406" s="197"/>
      <c r="AZ406" s="146"/>
      <c r="BA406" s="56">
        <f t="shared" si="15"/>
        <v>0</v>
      </c>
      <c r="BB406" s="9"/>
    </row>
    <row r="407" spans="1:54" ht="31.5" customHeight="1" x14ac:dyDescent="0.35">
      <c r="A407" s="54"/>
      <c r="B407" s="313" t="s">
        <v>236</v>
      </c>
      <c r="C407" s="87" t="s">
        <v>309</v>
      </c>
      <c r="D407" s="199"/>
      <c r="E407" s="197">
        <v>0</v>
      </c>
      <c r="F407" s="177">
        <v>0</v>
      </c>
      <c r="G407" s="177">
        <v>3430.1028878417333</v>
      </c>
      <c r="H407" s="87"/>
      <c r="I407" s="199"/>
      <c r="J407" s="197"/>
      <c r="K407" s="198"/>
      <c r="L407" s="146">
        <v>1715.0514439208666</v>
      </c>
      <c r="M407" s="232"/>
      <c r="N407" s="199"/>
      <c r="O407" s="197"/>
      <c r="P407" s="146"/>
      <c r="Q407" s="146">
        <v>1143.3676292805778</v>
      </c>
      <c r="R407" s="114"/>
      <c r="S407" s="199"/>
      <c r="T407" s="197"/>
      <c r="U407" s="146"/>
      <c r="V407" s="146">
        <v>571.68381464028892</v>
      </c>
      <c r="W407" s="114"/>
      <c r="X407" s="199"/>
      <c r="Y407" s="197"/>
      <c r="Z407" s="146"/>
      <c r="AA407" s="146">
        <v>0</v>
      </c>
      <c r="AB407" s="87"/>
      <c r="AC407" s="90"/>
      <c r="AD407" s="199"/>
      <c r="AE407" s="197"/>
      <c r="AF407" s="198"/>
      <c r="AG407" s="146"/>
      <c r="AH407" s="233"/>
      <c r="AI407" s="199"/>
      <c r="AJ407" s="197"/>
      <c r="AK407" s="146"/>
      <c r="AL407" s="146"/>
      <c r="AM407" s="116"/>
      <c r="AN407" s="199"/>
      <c r="AO407" s="197"/>
      <c r="AP407" s="146"/>
      <c r="AQ407" s="146"/>
      <c r="AR407" s="116"/>
      <c r="AS407" s="199"/>
      <c r="AT407" s="197"/>
      <c r="AU407" s="146"/>
      <c r="AV407" s="146"/>
      <c r="AW407" s="114"/>
      <c r="AX407" s="199"/>
      <c r="AY407" s="197"/>
      <c r="AZ407" s="177"/>
      <c r="BA407" s="56">
        <f t="shared" si="15"/>
        <v>0</v>
      </c>
      <c r="BB407" s="9"/>
    </row>
    <row r="408" spans="1:54" ht="31.5" customHeight="1" x14ac:dyDescent="0.35">
      <c r="A408" s="54"/>
      <c r="B408" s="313" t="s">
        <v>237</v>
      </c>
      <c r="C408" s="87" t="s">
        <v>309</v>
      </c>
      <c r="D408" s="176" t="s">
        <v>230</v>
      </c>
      <c r="E408" s="197">
        <v>90</v>
      </c>
      <c r="F408" s="177">
        <v>38.112254309352593</v>
      </c>
      <c r="G408" s="177">
        <v>1372.0411551366933</v>
      </c>
      <c r="H408" s="87"/>
      <c r="I408" s="176" t="s">
        <v>230</v>
      </c>
      <c r="J408" s="197">
        <v>45</v>
      </c>
      <c r="K408" s="198">
        <v>38.112254309352593</v>
      </c>
      <c r="L408" s="146">
        <v>686.02057756834665</v>
      </c>
      <c r="M408" s="232"/>
      <c r="N408" s="176" t="s">
        <v>230</v>
      </c>
      <c r="O408" s="197">
        <v>30</v>
      </c>
      <c r="P408" s="198">
        <v>38.112254309352593</v>
      </c>
      <c r="Q408" s="146">
        <v>457.34705171223112</v>
      </c>
      <c r="R408" s="114"/>
      <c r="S408" s="176" t="s">
        <v>230</v>
      </c>
      <c r="T408" s="197">
        <v>15</v>
      </c>
      <c r="U408" s="198">
        <v>38.112254309352593</v>
      </c>
      <c r="V408" s="146">
        <v>228.67352585611556</v>
      </c>
      <c r="W408" s="114"/>
      <c r="X408" s="199"/>
      <c r="Y408" s="197"/>
      <c r="Z408" s="146"/>
      <c r="AA408" s="146">
        <v>0</v>
      </c>
      <c r="AB408" s="87"/>
      <c r="AC408" s="90"/>
      <c r="AD408" s="176"/>
      <c r="AE408" s="197"/>
      <c r="AF408" s="198"/>
      <c r="AG408" s="146"/>
      <c r="AH408" s="233"/>
      <c r="AI408" s="176"/>
      <c r="AJ408" s="197"/>
      <c r="AK408" s="198"/>
      <c r="AL408" s="146"/>
      <c r="AM408" s="116"/>
      <c r="AN408" s="176"/>
      <c r="AO408" s="197"/>
      <c r="AP408" s="198"/>
      <c r="AQ408" s="146"/>
      <c r="AR408" s="116"/>
      <c r="AS408" s="199"/>
      <c r="AT408" s="197"/>
      <c r="AU408" s="146"/>
      <c r="AV408" s="146"/>
      <c r="AW408" s="114"/>
      <c r="AX408" s="176"/>
      <c r="AY408" s="197"/>
      <c r="AZ408" s="177"/>
      <c r="BA408" s="56">
        <f t="shared" si="15"/>
        <v>0</v>
      </c>
      <c r="BB408" s="9"/>
    </row>
    <row r="409" spans="1:54" ht="31.5" customHeight="1" x14ac:dyDescent="0.35">
      <c r="A409" s="54"/>
      <c r="B409" s="313" t="s">
        <v>312</v>
      </c>
      <c r="C409" s="87" t="s">
        <v>309</v>
      </c>
      <c r="D409" s="176" t="s">
        <v>230</v>
      </c>
      <c r="E409" s="197">
        <v>90</v>
      </c>
      <c r="F409" s="177">
        <v>15.244901723741037</v>
      </c>
      <c r="G409" s="177">
        <v>11856.722315639592</v>
      </c>
      <c r="H409" s="87"/>
      <c r="I409" s="176" t="s">
        <v>230</v>
      </c>
      <c r="J409" s="197">
        <v>45</v>
      </c>
      <c r="K409" s="198">
        <v>15.244901723741037</v>
      </c>
      <c r="L409" s="146">
        <v>4882.1797770280673</v>
      </c>
      <c r="M409" s="232"/>
      <c r="N409" s="176" t="s">
        <v>230</v>
      </c>
      <c r="O409" s="197">
        <v>30</v>
      </c>
      <c r="P409" s="198">
        <v>15.244901723741037</v>
      </c>
      <c r="Q409" s="146">
        <v>4882.1797770280673</v>
      </c>
      <c r="R409" s="114"/>
      <c r="S409" s="176" t="s">
        <v>230</v>
      </c>
      <c r="T409" s="197">
        <v>15</v>
      </c>
      <c r="U409" s="198">
        <v>15.244901723741037</v>
      </c>
      <c r="V409" s="146">
        <v>2092.3627615834575</v>
      </c>
      <c r="W409" s="114"/>
      <c r="X409" s="199"/>
      <c r="Y409" s="197"/>
      <c r="Z409" s="146"/>
      <c r="AA409" s="146">
        <v>0</v>
      </c>
      <c r="AB409" s="87"/>
      <c r="AC409" s="90"/>
      <c r="AD409" s="176"/>
      <c r="AE409" s="197"/>
      <c r="AF409" s="198"/>
      <c r="AG409" s="146"/>
      <c r="AH409" s="233"/>
      <c r="AI409" s="176"/>
      <c r="AJ409" s="197"/>
      <c r="AK409" s="198"/>
      <c r="AL409" s="146"/>
      <c r="AM409" s="116"/>
      <c r="AN409" s="176"/>
      <c r="AO409" s="197"/>
      <c r="AP409" s="198"/>
      <c r="AQ409" s="146"/>
      <c r="AR409" s="116"/>
      <c r="AS409" s="199"/>
      <c r="AT409" s="197"/>
      <c r="AU409" s="146"/>
      <c r="AV409" s="146"/>
      <c r="AW409" s="114"/>
      <c r="AX409" s="176"/>
      <c r="AY409" s="197"/>
      <c r="AZ409" s="177"/>
      <c r="BA409" s="56">
        <f t="shared" si="15"/>
        <v>0</v>
      </c>
      <c r="BB409" s="9"/>
    </row>
    <row r="410" spans="1:54" ht="31.5" customHeight="1" x14ac:dyDescent="0.35">
      <c r="A410" s="54"/>
      <c r="B410" s="313" t="s">
        <v>313</v>
      </c>
      <c r="C410" s="87" t="s">
        <v>309</v>
      </c>
      <c r="D410" s="176" t="s">
        <v>230</v>
      </c>
      <c r="E410" s="197">
        <v>255</v>
      </c>
      <c r="F410" s="177">
        <v>46.496950257410163</v>
      </c>
      <c r="G410" s="177">
        <v>268577.05611800775</v>
      </c>
      <c r="H410" s="87"/>
      <c r="I410" s="176" t="s">
        <v>230</v>
      </c>
      <c r="J410" s="197">
        <v>105</v>
      </c>
      <c r="K410" s="198">
        <v>46.496950257410163</v>
      </c>
      <c r="L410" s="146">
        <v>193800.81316305793</v>
      </c>
      <c r="M410" s="232"/>
      <c r="N410" s="176" t="s">
        <v>230</v>
      </c>
      <c r="O410" s="197">
        <v>105</v>
      </c>
      <c r="P410" s="198">
        <v>46.496950257410163</v>
      </c>
      <c r="Q410" s="146">
        <v>58311.749093309467</v>
      </c>
      <c r="R410" s="114"/>
      <c r="S410" s="176" t="s">
        <v>230</v>
      </c>
      <c r="T410" s="197">
        <v>45</v>
      </c>
      <c r="U410" s="198">
        <v>46.496950257410163</v>
      </c>
      <c r="V410" s="146">
        <v>16464.49386164032</v>
      </c>
      <c r="W410" s="114"/>
      <c r="X410" s="199"/>
      <c r="Y410" s="197"/>
      <c r="Z410" s="146"/>
      <c r="AA410" s="146">
        <v>0</v>
      </c>
      <c r="AB410" s="87"/>
      <c r="AC410" s="90"/>
      <c r="AD410" s="176"/>
      <c r="AE410" s="197"/>
      <c r="AF410" s="198"/>
      <c r="AG410" s="146"/>
      <c r="AH410" s="233"/>
      <c r="AI410" s="176"/>
      <c r="AJ410" s="197"/>
      <c r="AK410" s="198"/>
      <c r="AL410" s="146"/>
      <c r="AM410" s="116"/>
      <c r="AN410" s="176"/>
      <c r="AO410" s="197"/>
      <c r="AP410" s="198"/>
      <c r="AQ410" s="146"/>
      <c r="AR410" s="116"/>
      <c r="AS410" s="199"/>
      <c r="AT410" s="197"/>
      <c r="AU410" s="146"/>
      <c r="AV410" s="146"/>
      <c r="AW410" s="114"/>
      <c r="AX410" s="176"/>
      <c r="AY410" s="197"/>
      <c r="AZ410" s="177"/>
      <c r="BA410" s="56">
        <f t="shared" si="15"/>
        <v>0</v>
      </c>
      <c r="BB410" s="9"/>
    </row>
    <row r="411" spans="1:54" ht="31.5" customHeight="1" x14ac:dyDescent="0.35">
      <c r="A411" s="54"/>
      <c r="B411" s="313" t="s">
        <v>240</v>
      </c>
      <c r="C411" s="87" t="s">
        <v>309</v>
      </c>
      <c r="D411" s="176" t="s">
        <v>230</v>
      </c>
      <c r="E411" s="197">
        <v>7047</v>
      </c>
      <c r="F411" s="177">
        <v>38.112254309352593</v>
      </c>
      <c r="G411" s="177">
        <v>1600.714680992809</v>
      </c>
      <c r="H411" s="87"/>
      <c r="I411" s="176" t="s">
        <v>230</v>
      </c>
      <c r="J411" s="197">
        <v>5085</v>
      </c>
      <c r="K411" s="198">
        <v>38.112254309352593</v>
      </c>
      <c r="L411" s="146">
        <v>533.57156033093634</v>
      </c>
      <c r="M411" s="232"/>
      <c r="N411" s="176" t="s">
        <v>230</v>
      </c>
      <c r="O411" s="197">
        <v>1530</v>
      </c>
      <c r="P411" s="198">
        <v>38.112254309352593</v>
      </c>
      <c r="Q411" s="146">
        <v>533.57156033093634</v>
      </c>
      <c r="R411" s="114"/>
      <c r="S411" s="176" t="s">
        <v>230</v>
      </c>
      <c r="T411" s="197">
        <v>432</v>
      </c>
      <c r="U411" s="198">
        <v>38.112254309352593</v>
      </c>
      <c r="V411" s="146">
        <v>533.57156033093634</v>
      </c>
      <c r="W411" s="114"/>
      <c r="X411" s="199"/>
      <c r="Y411" s="197"/>
      <c r="Z411" s="146"/>
      <c r="AA411" s="146">
        <v>0</v>
      </c>
      <c r="AB411" s="87"/>
      <c r="AC411" s="90"/>
      <c r="AD411" s="176"/>
      <c r="AE411" s="197"/>
      <c r="AF411" s="198"/>
      <c r="AG411" s="146"/>
      <c r="AH411" s="233"/>
      <c r="AI411" s="176"/>
      <c r="AJ411" s="197"/>
      <c r="AK411" s="198"/>
      <c r="AL411" s="146"/>
      <c r="AM411" s="116"/>
      <c r="AN411" s="176"/>
      <c r="AO411" s="197"/>
      <c r="AP411" s="198"/>
      <c r="AQ411" s="146"/>
      <c r="AR411" s="116"/>
      <c r="AS411" s="199"/>
      <c r="AT411" s="197"/>
      <c r="AU411" s="146"/>
      <c r="AV411" s="146"/>
      <c r="AW411" s="114"/>
      <c r="AX411" s="176"/>
      <c r="AY411" s="197"/>
      <c r="AZ411" s="177"/>
      <c r="BA411" s="56">
        <f t="shared" si="15"/>
        <v>0</v>
      </c>
      <c r="BB411" s="9"/>
    </row>
    <row r="412" spans="1:54" x14ac:dyDescent="0.35">
      <c r="A412" s="54"/>
      <c r="B412" s="314" t="s">
        <v>314</v>
      </c>
      <c r="C412" s="87" t="s">
        <v>309</v>
      </c>
      <c r="D412" s="176" t="s">
        <v>230</v>
      </c>
      <c r="E412" s="197">
        <v>210</v>
      </c>
      <c r="F412" s="177">
        <v>7.6224508618705187</v>
      </c>
      <c r="G412" s="177">
        <v>57717.197926083565</v>
      </c>
      <c r="H412" s="87"/>
      <c r="I412" s="176" t="s">
        <v>230</v>
      </c>
      <c r="J412" s="197">
        <v>70</v>
      </c>
      <c r="K412" s="198">
        <v>7.6224508618705187</v>
      </c>
      <c r="L412" s="146">
        <v>41275.571417028856</v>
      </c>
      <c r="M412" s="232"/>
      <c r="N412" s="176" t="s">
        <v>230</v>
      </c>
      <c r="O412" s="197">
        <v>70</v>
      </c>
      <c r="P412" s="198">
        <v>7.6224508618705187</v>
      </c>
      <c r="Q412" s="146">
        <v>12462.707159158297</v>
      </c>
      <c r="R412" s="114"/>
      <c r="S412" s="176" t="s">
        <v>230</v>
      </c>
      <c r="T412" s="197">
        <v>70</v>
      </c>
      <c r="U412" s="198">
        <v>7.6224508618705187</v>
      </c>
      <c r="V412" s="146">
        <v>3978.9193498964109</v>
      </c>
      <c r="W412" s="114"/>
      <c r="X412" s="199"/>
      <c r="Y412" s="197"/>
      <c r="Z412" s="146"/>
      <c r="AA412" s="146">
        <v>0</v>
      </c>
      <c r="AB412" s="87"/>
      <c r="AC412" s="90"/>
      <c r="AD412" s="176"/>
      <c r="AE412" s="197"/>
      <c r="AF412" s="198"/>
      <c r="AG412" s="146"/>
      <c r="AH412" s="233"/>
      <c r="AI412" s="176"/>
      <c r="AJ412" s="197"/>
      <c r="AK412" s="198"/>
      <c r="AL412" s="146"/>
      <c r="AM412" s="116"/>
      <c r="AN412" s="176"/>
      <c r="AO412" s="197"/>
      <c r="AP412" s="198"/>
      <c r="AQ412" s="146"/>
      <c r="AR412" s="116"/>
      <c r="AS412" s="199"/>
      <c r="AT412" s="197"/>
      <c r="AU412" s="146"/>
      <c r="AV412" s="146"/>
      <c r="AW412" s="114"/>
      <c r="AX412" s="176"/>
      <c r="AY412" s="197"/>
      <c r="AZ412" s="177"/>
      <c r="BA412" s="56">
        <f t="shared" si="15"/>
        <v>0</v>
      </c>
      <c r="BB412" s="9"/>
    </row>
    <row r="413" spans="1:54" ht="30.75" customHeight="1" x14ac:dyDescent="0.35">
      <c r="A413" s="54"/>
      <c r="B413" s="314" t="s">
        <v>242</v>
      </c>
      <c r="C413" s="87" t="s">
        <v>309</v>
      </c>
      <c r="D413" s="176" t="s">
        <v>56</v>
      </c>
      <c r="E413" s="197">
        <v>7572</v>
      </c>
      <c r="F413" s="177">
        <v>7.6224508618705187</v>
      </c>
      <c r="G413" s="177">
        <v>8918.267508388506</v>
      </c>
      <c r="H413" s="87"/>
      <c r="I413" s="176" t="s">
        <v>214</v>
      </c>
      <c r="J413" s="197">
        <v>5415</v>
      </c>
      <c r="K413" s="198">
        <v>7.6224508618705187</v>
      </c>
      <c r="L413" s="146">
        <v>2058.06173270504</v>
      </c>
      <c r="M413" s="232"/>
      <c r="N413" s="176" t="s">
        <v>214</v>
      </c>
      <c r="O413" s="197">
        <v>1635</v>
      </c>
      <c r="P413" s="198">
        <v>7.6224508618705187</v>
      </c>
      <c r="Q413" s="146">
        <v>4116.1234654100799</v>
      </c>
      <c r="R413" s="114"/>
      <c r="S413" s="176" t="s">
        <v>214</v>
      </c>
      <c r="T413" s="197">
        <v>522</v>
      </c>
      <c r="U413" s="198">
        <v>7.6224508618705187</v>
      </c>
      <c r="V413" s="146">
        <v>2744.0823102733866</v>
      </c>
      <c r="W413" s="114"/>
      <c r="X413" s="199"/>
      <c r="Y413" s="197"/>
      <c r="Z413" s="146"/>
      <c r="AA413" s="146">
        <v>0</v>
      </c>
      <c r="AB413" s="87"/>
      <c r="AC413" s="90"/>
      <c r="AD413" s="176"/>
      <c r="AE413" s="197"/>
      <c r="AF413" s="198"/>
      <c r="AG413" s="146"/>
      <c r="AH413" s="233"/>
      <c r="AI413" s="176"/>
      <c r="AJ413" s="197"/>
      <c r="AK413" s="198"/>
      <c r="AL413" s="146"/>
      <c r="AM413" s="116"/>
      <c r="AN413" s="176"/>
      <c r="AO413" s="197"/>
      <c r="AP413" s="198"/>
      <c r="AQ413" s="146"/>
      <c r="AR413" s="116"/>
      <c r="AS413" s="199"/>
      <c r="AT413" s="197"/>
      <c r="AU413" s="146"/>
      <c r="AV413" s="146"/>
      <c r="AW413" s="114"/>
      <c r="AX413" s="176"/>
      <c r="AY413" s="197"/>
      <c r="AZ413" s="177"/>
      <c r="BA413" s="56">
        <f t="shared" si="15"/>
        <v>0</v>
      </c>
      <c r="BB413" s="9"/>
    </row>
    <row r="414" spans="1:54" ht="29" x14ac:dyDescent="0.35">
      <c r="A414" s="54"/>
      <c r="B414" s="188" t="s">
        <v>243</v>
      </c>
      <c r="C414" s="189"/>
      <c r="D414" s="214" t="s">
        <v>56</v>
      </c>
      <c r="E414" s="203">
        <v>195</v>
      </c>
      <c r="F414" s="204">
        <v>45.734705171223112</v>
      </c>
      <c r="G414" s="204">
        <f>SUM(G417:G419)</f>
        <v>10671.431206618727</v>
      </c>
      <c r="H414" s="189"/>
      <c r="I414" s="214"/>
      <c r="J414" s="203"/>
      <c r="K414" s="257"/>
      <c r="L414" s="206">
        <f>SUM(L417:L419)</f>
        <v>0</v>
      </c>
      <c r="M414" s="235"/>
      <c r="N414" s="214"/>
      <c r="O414" s="203"/>
      <c r="P414" s="257"/>
      <c r="Q414" s="206">
        <f>SUM(Q417:Q419)</f>
        <v>4573.4705171223113</v>
      </c>
      <c r="R414" s="236"/>
      <c r="S414" s="214"/>
      <c r="T414" s="203"/>
      <c r="U414" s="257"/>
      <c r="V414" s="206">
        <f>SUM(V417:V419)</f>
        <v>3048.9803447482072</v>
      </c>
      <c r="W414" s="236"/>
      <c r="X414" s="202"/>
      <c r="Y414" s="203"/>
      <c r="Z414" s="206"/>
      <c r="AA414" s="206">
        <f>SUM(AA417:AA419)</f>
        <v>3048.9803447482072</v>
      </c>
      <c r="AB414" s="189"/>
      <c r="AC414" s="195"/>
      <c r="AD414" s="214"/>
      <c r="AE414" s="203"/>
      <c r="AF414" s="257"/>
      <c r="AG414" s="206"/>
      <c r="AH414" s="237"/>
      <c r="AI414" s="214"/>
      <c r="AJ414" s="203"/>
      <c r="AK414" s="257"/>
      <c r="AL414" s="206"/>
      <c r="AM414" s="238"/>
      <c r="AN414" s="214"/>
      <c r="AO414" s="203"/>
      <c r="AP414" s="257"/>
      <c r="AQ414" s="206"/>
      <c r="AR414" s="238"/>
      <c r="AS414" s="202"/>
      <c r="AT414" s="203"/>
      <c r="AU414" s="206"/>
      <c r="AV414" s="206"/>
      <c r="AW414" s="236"/>
      <c r="AX414" s="214"/>
      <c r="AY414" s="203"/>
      <c r="AZ414" s="204"/>
      <c r="BA414" s="193">
        <f t="shared" si="15"/>
        <v>0</v>
      </c>
      <c r="BB414" s="9"/>
    </row>
    <row r="415" spans="1:54" hidden="1" x14ac:dyDescent="0.35">
      <c r="A415" s="54"/>
      <c r="B415" s="311" t="s">
        <v>202</v>
      </c>
      <c r="C415" s="42"/>
      <c r="D415" s="199"/>
      <c r="E415" s="197">
        <v>0</v>
      </c>
      <c r="F415" s="177"/>
      <c r="G415" s="177">
        <v>0</v>
      </c>
      <c r="H415" s="42"/>
      <c r="I415" s="199"/>
      <c r="J415" s="197"/>
      <c r="K415" s="315"/>
      <c r="L415" s="146">
        <v>0</v>
      </c>
      <c r="M415" s="232"/>
      <c r="N415" s="199"/>
      <c r="O415" s="316"/>
      <c r="P415" s="317"/>
      <c r="Q415" s="146">
        <v>0</v>
      </c>
      <c r="R415" s="114"/>
      <c r="S415" s="199"/>
      <c r="T415" s="316"/>
      <c r="U415" s="317"/>
      <c r="V415" s="146">
        <v>0</v>
      </c>
      <c r="W415" s="114"/>
      <c r="X415" s="199"/>
      <c r="Y415" s="316"/>
      <c r="Z415" s="317"/>
      <c r="AA415" s="146">
        <v>0</v>
      </c>
      <c r="AB415" s="42"/>
      <c r="AC415" s="46"/>
      <c r="AD415" s="199"/>
      <c r="AE415" s="197"/>
      <c r="AF415" s="315"/>
      <c r="AG415" s="146"/>
      <c r="AH415" s="233"/>
      <c r="AI415" s="199"/>
      <c r="AJ415" s="316"/>
      <c r="AK415" s="317"/>
      <c r="AL415" s="146"/>
      <c r="AM415" s="116"/>
      <c r="AN415" s="199"/>
      <c r="AO415" s="316"/>
      <c r="AP415" s="317"/>
      <c r="AQ415" s="146"/>
      <c r="AR415" s="116"/>
      <c r="AS415" s="199"/>
      <c r="AT415" s="316"/>
      <c r="AU415" s="317"/>
      <c r="AV415" s="146"/>
      <c r="AW415" s="114"/>
      <c r="AX415" s="199"/>
      <c r="AY415" s="197"/>
      <c r="AZ415" s="177"/>
      <c r="BA415" s="56">
        <f t="shared" si="15"/>
        <v>0</v>
      </c>
      <c r="BB415" s="9"/>
    </row>
    <row r="416" spans="1:54" hidden="1" x14ac:dyDescent="0.35">
      <c r="A416" s="54"/>
      <c r="B416" s="313" t="s">
        <v>203</v>
      </c>
      <c r="C416" s="42"/>
      <c r="D416" s="199"/>
      <c r="E416" s="197">
        <v>0</v>
      </c>
      <c r="F416" s="146"/>
      <c r="G416" s="177">
        <v>0</v>
      </c>
      <c r="H416" s="42"/>
      <c r="I416" s="199"/>
      <c r="J416" s="197"/>
      <c r="K416" s="198"/>
      <c r="L416" s="146">
        <v>0</v>
      </c>
      <c r="M416" s="232"/>
      <c r="N416" s="199"/>
      <c r="O416" s="197"/>
      <c r="P416" s="146"/>
      <c r="Q416" s="146">
        <v>0</v>
      </c>
      <c r="R416" s="114"/>
      <c r="S416" s="199"/>
      <c r="T416" s="197"/>
      <c r="U416" s="146"/>
      <c r="V416" s="146">
        <v>0</v>
      </c>
      <c r="W416" s="114"/>
      <c r="X416" s="199"/>
      <c r="Y416" s="197"/>
      <c r="Z416" s="146"/>
      <c r="AA416" s="146">
        <v>0</v>
      </c>
      <c r="AB416" s="42"/>
      <c r="AC416" s="46"/>
      <c r="AD416" s="199"/>
      <c r="AE416" s="197"/>
      <c r="AF416" s="198"/>
      <c r="AG416" s="146"/>
      <c r="AH416" s="233"/>
      <c r="AI416" s="199"/>
      <c r="AJ416" s="197"/>
      <c r="AK416" s="146"/>
      <c r="AL416" s="146"/>
      <c r="AM416" s="116"/>
      <c r="AN416" s="199"/>
      <c r="AO416" s="197"/>
      <c r="AP416" s="146"/>
      <c r="AQ416" s="146"/>
      <c r="AR416" s="116"/>
      <c r="AS416" s="199"/>
      <c r="AT416" s="197"/>
      <c r="AU416" s="146"/>
      <c r="AV416" s="146"/>
      <c r="AW416" s="114"/>
      <c r="AX416" s="199"/>
      <c r="AY416" s="197"/>
      <c r="AZ416" s="146"/>
      <c r="BA416" s="56">
        <f t="shared" si="15"/>
        <v>0</v>
      </c>
      <c r="BB416" s="9"/>
    </row>
    <row r="417" spans="1:54" ht="31.5" customHeight="1" x14ac:dyDescent="0.35">
      <c r="A417" s="54"/>
      <c r="B417" s="313" t="s">
        <v>244</v>
      </c>
      <c r="C417" s="87" t="s">
        <v>309</v>
      </c>
      <c r="D417" s="199"/>
      <c r="E417" s="197">
        <v>0</v>
      </c>
      <c r="F417" s="146"/>
      <c r="G417" s="177">
        <v>0</v>
      </c>
      <c r="H417" s="87"/>
      <c r="I417" s="199"/>
      <c r="J417" s="197"/>
      <c r="K417" s="198"/>
      <c r="L417" s="146">
        <v>0</v>
      </c>
      <c r="M417" s="232"/>
      <c r="N417" s="199"/>
      <c r="O417" s="197"/>
      <c r="P417" s="146"/>
      <c r="Q417" s="146">
        <v>0</v>
      </c>
      <c r="R417" s="114"/>
      <c r="S417" s="199"/>
      <c r="T417" s="197"/>
      <c r="U417" s="146"/>
      <c r="V417" s="146">
        <v>0</v>
      </c>
      <c r="W417" s="114"/>
      <c r="X417" s="199"/>
      <c r="Y417" s="197"/>
      <c r="Z417" s="146"/>
      <c r="AA417" s="146">
        <v>0</v>
      </c>
      <c r="AB417" s="87"/>
      <c r="AC417" s="90"/>
      <c r="AD417" s="199"/>
      <c r="AE417" s="197"/>
      <c r="AF417" s="198"/>
      <c r="AG417" s="146"/>
      <c r="AH417" s="233"/>
      <c r="AI417" s="199"/>
      <c r="AJ417" s="197"/>
      <c r="AK417" s="146"/>
      <c r="AL417" s="146"/>
      <c r="AM417" s="116"/>
      <c r="AN417" s="199"/>
      <c r="AO417" s="197"/>
      <c r="AP417" s="146"/>
      <c r="AQ417" s="146"/>
      <c r="AR417" s="116"/>
      <c r="AS417" s="199"/>
      <c r="AT417" s="197"/>
      <c r="AU417" s="146"/>
      <c r="AV417" s="146"/>
      <c r="AW417" s="114"/>
      <c r="AX417" s="199"/>
      <c r="AY417" s="197"/>
      <c r="AZ417" s="146"/>
      <c r="BA417" s="56">
        <f t="shared" si="15"/>
        <v>0</v>
      </c>
      <c r="BB417" s="9"/>
    </row>
    <row r="418" spans="1:54" x14ac:dyDescent="0.35">
      <c r="A418" s="54"/>
      <c r="B418" s="313" t="s">
        <v>211</v>
      </c>
      <c r="C418" s="42"/>
      <c r="D418" s="176" t="s">
        <v>245</v>
      </c>
      <c r="E418" s="197">
        <v>280</v>
      </c>
      <c r="F418" s="177">
        <v>38.112254309352593</v>
      </c>
      <c r="G418" s="177">
        <v>10671.431206618727</v>
      </c>
      <c r="H418" s="42"/>
      <c r="I418" s="176" t="s">
        <v>245</v>
      </c>
      <c r="J418" s="197">
        <v>0</v>
      </c>
      <c r="K418" s="198">
        <v>0</v>
      </c>
      <c r="L418" s="146">
        <v>0</v>
      </c>
      <c r="M418" s="232"/>
      <c r="N418" s="176" t="s">
        <v>245</v>
      </c>
      <c r="O418" s="318">
        <v>120</v>
      </c>
      <c r="P418" s="179">
        <v>38.112254309352593</v>
      </c>
      <c r="Q418" s="146">
        <v>4573.4705171223113</v>
      </c>
      <c r="R418" s="114"/>
      <c r="S418" s="176" t="s">
        <v>245</v>
      </c>
      <c r="T418" s="318">
        <v>80</v>
      </c>
      <c r="U418" s="179">
        <v>38.112254309352593</v>
      </c>
      <c r="V418" s="146">
        <v>3048.9803447482072</v>
      </c>
      <c r="W418" s="114"/>
      <c r="X418" s="176" t="s">
        <v>245</v>
      </c>
      <c r="Y418" s="318">
        <v>80</v>
      </c>
      <c r="Z418" s="179">
        <v>38.112254309352593</v>
      </c>
      <c r="AA418" s="146">
        <v>3048.9803447482072</v>
      </c>
      <c r="AB418" s="42"/>
      <c r="AC418" s="46"/>
      <c r="AD418" s="176"/>
      <c r="AE418" s="197"/>
      <c r="AF418" s="198"/>
      <c r="AG418" s="146"/>
      <c r="AH418" s="233"/>
      <c r="AI418" s="176"/>
      <c r="AJ418" s="318"/>
      <c r="AK418" s="179"/>
      <c r="AL418" s="146"/>
      <c r="AM418" s="116"/>
      <c r="AN418" s="176"/>
      <c r="AO418" s="318"/>
      <c r="AP418" s="179"/>
      <c r="AQ418" s="146"/>
      <c r="AR418" s="116"/>
      <c r="AS418" s="176"/>
      <c r="AT418" s="318"/>
      <c r="AU418" s="179"/>
      <c r="AV418" s="146"/>
      <c r="AW418" s="114"/>
      <c r="AX418" s="176"/>
      <c r="AY418" s="197"/>
      <c r="AZ418" s="177"/>
      <c r="BA418" s="56">
        <f t="shared" si="15"/>
        <v>0</v>
      </c>
      <c r="BB418" s="9"/>
    </row>
    <row r="419" spans="1:54" x14ac:dyDescent="0.35">
      <c r="A419" s="54"/>
      <c r="B419" s="314" t="s">
        <v>246</v>
      </c>
      <c r="C419" s="42"/>
      <c r="D419" s="43"/>
      <c r="E419" s="197"/>
      <c r="F419" s="146"/>
      <c r="G419" s="146"/>
      <c r="H419" s="42"/>
      <c r="I419" s="43"/>
      <c r="J419" s="197"/>
      <c r="K419" s="198"/>
      <c r="L419" s="146"/>
      <c r="M419" s="232"/>
      <c r="N419" s="43"/>
      <c r="O419" s="197"/>
      <c r="P419" s="146"/>
      <c r="Q419" s="146"/>
      <c r="R419" s="114"/>
      <c r="S419" s="43"/>
      <c r="T419" s="197"/>
      <c r="U419" s="146"/>
      <c r="V419" s="146"/>
      <c r="W419" s="114"/>
      <c r="X419" s="43"/>
      <c r="Y419" s="197"/>
      <c r="Z419" s="146"/>
      <c r="AA419" s="146"/>
      <c r="AB419" s="42"/>
      <c r="AC419" s="46"/>
      <c r="AD419" s="43"/>
      <c r="AE419" s="197"/>
      <c r="AF419" s="198"/>
      <c r="AG419" s="146"/>
      <c r="AH419" s="233"/>
      <c r="AI419" s="43"/>
      <c r="AJ419" s="197"/>
      <c r="AK419" s="146"/>
      <c r="AL419" s="146"/>
      <c r="AM419" s="116"/>
      <c r="AN419" s="43"/>
      <c r="AO419" s="197"/>
      <c r="AP419" s="146"/>
      <c r="AQ419" s="146"/>
      <c r="AR419" s="116"/>
      <c r="AS419" s="43"/>
      <c r="AT419" s="197"/>
      <c r="AU419" s="146"/>
      <c r="AV419" s="146"/>
      <c r="AW419" s="114"/>
      <c r="AX419" s="43"/>
      <c r="AY419" s="197"/>
      <c r="AZ419" s="146"/>
      <c r="BA419" s="56">
        <f t="shared" si="15"/>
        <v>0</v>
      </c>
      <c r="BB419" s="9"/>
    </row>
    <row r="420" spans="1:54" x14ac:dyDescent="0.35">
      <c r="A420" s="259"/>
      <c r="B420" s="260" t="s">
        <v>315</v>
      </c>
      <c r="C420" s="261"/>
      <c r="D420" s="262"/>
      <c r="E420" s="263"/>
      <c r="F420" s="264"/>
      <c r="G420" s="265">
        <f>SUM(G257:G299)+SUM(G303,G304,G305,G311,G317,G318,G324,G330,G331,G337,G338,G339,G345,G351,G357,G363,G369,G375,G381,G387,G388,G394,G395,G396,G404,G414)</f>
        <v>2833688.992033842</v>
      </c>
      <c r="H420" s="261"/>
      <c r="I420" s="262"/>
      <c r="J420" s="263"/>
      <c r="K420" s="264"/>
      <c r="L420" s="265">
        <f>SUM(L257:L299)+SUM(L303,L304,L305,L311,L317,L318,L324,L330,L331,L337,L338,L339,L345,L351,L357,L363,L369,L375,L381,L387,L388,L394,L395,L396,L404,L414)</f>
        <v>909788.32048120536</v>
      </c>
      <c r="M420" s="30"/>
      <c r="N420" s="262"/>
      <c r="O420" s="263"/>
      <c r="P420" s="264"/>
      <c r="Q420" s="265">
        <f>SUM(Q257:Q299)+SUM(Q303,Q304,Q305,Q311,Q317,Q318,Q324,Q330,Q331,Q337,Q338,Q339,Q345,Q351,Q357,Q363,Q369,Q375,Q381,Q387,Q388,Q394,Q395,Q396,Q404,Q414)</f>
        <v>919588.4171257714</v>
      </c>
      <c r="R420" s="30"/>
      <c r="S420" s="262"/>
      <c r="T420" s="263"/>
      <c r="U420" s="264"/>
      <c r="V420" s="265">
        <f>SUM(V257:V299)+SUM(V303,V304,V305,V311,V317,V318,V324,V330,V331,V337,V338,V339,V345,V351,V357,V363,V369,V375,V381,V387,V388,V394,V395,V396,V404,V414)</f>
        <v>570249.73982559622</v>
      </c>
      <c r="W420" s="30"/>
      <c r="X420" s="262"/>
      <c r="Y420" s="263"/>
      <c r="Z420" s="264"/>
      <c r="AA420" s="265">
        <f>SUM(AA257:AA299)+SUM(AA303,AA304,AA305,AA311,AA317,AA318,AA324,AA330,AA331,AA337,AA338,AA339,AA345,AA351,AA357,AA363,AA369,AA375,AA381,AA387,AA388,AA394,AA395,AA396,AA404,AA414)</f>
        <v>434062.51460126904</v>
      </c>
      <c r="AB420" s="261"/>
      <c r="AC420" s="266"/>
      <c r="AD420" s="262"/>
      <c r="AE420" s="263"/>
      <c r="AF420" s="264"/>
      <c r="AG420" s="265">
        <f>SUM(AG257:AG299)+SUM(AG303,AG304,AG305,AG311,AG317,AG318,AG324,AG330,AG331,AG337,AG338,AG339,AG345,AG351,AG357,AG363,AG369,AG375,AG381,AG387,AG388,AG394,AG395,AG396,AG404,AG414)</f>
        <v>422870.2540001286</v>
      </c>
      <c r="AH420" s="32"/>
      <c r="AI420" s="262"/>
      <c r="AJ420" s="263"/>
      <c r="AK420" s="264"/>
      <c r="AL420" s="265">
        <f>SUM(AL257:AL419)</f>
        <v>0</v>
      </c>
      <c r="AM420" s="32"/>
      <c r="AN420" s="262"/>
      <c r="AO420" s="263"/>
      <c r="AP420" s="264"/>
      <c r="AQ420" s="265">
        <f>SUM(AQ257:AQ419)</f>
        <v>0</v>
      </c>
      <c r="AR420" s="32"/>
      <c r="AS420" s="262"/>
      <c r="AT420" s="263"/>
      <c r="AU420" s="264"/>
      <c r="AV420" s="265">
        <f>SUM(AV257:AV419)</f>
        <v>0</v>
      </c>
      <c r="AW420" s="30"/>
      <c r="AX420" s="262"/>
      <c r="AY420" s="263"/>
      <c r="AZ420" s="264"/>
      <c r="BA420" s="265">
        <f>SUM(BA257:BA299)+SUM(BA303,BA304,BA305,BA311,BA317,BA318,BA324,BA330,BA331,BA337,BA338,BA339,BA345,BA351,BA357,BA363,BA369,BA375,BA381,BA387,BA388,BA394,BA395,BA396,BA404,BA414)</f>
        <v>422870.2540001286</v>
      </c>
      <c r="BB420" s="9"/>
    </row>
    <row r="421" spans="1:54" x14ac:dyDescent="0.35">
      <c r="A421" s="54"/>
      <c r="B421" s="319"/>
      <c r="C421" s="33"/>
      <c r="D421" s="43"/>
      <c r="E421" s="44"/>
      <c r="F421" s="56"/>
      <c r="G421" s="56"/>
      <c r="H421" s="33"/>
      <c r="I421" s="43"/>
      <c r="J421" s="44"/>
      <c r="K421" s="56"/>
      <c r="L421" s="56"/>
      <c r="M421" s="30"/>
      <c r="N421" s="43"/>
      <c r="O421" s="44"/>
      <c r="P421" s="56"/>
      <c r="Q421" s="56"/>
      <c r="R421" s="30"/>
      <c r="S421" s="43"/>
      <c r="T421" s="44"/>
      <c r="U421" s="56"/>
      <c r="V421" s="56"/>
      <c r="W421" s="30"/>
      <c r="X421" s="43"/>
      <c r="Y421" s="44"/>
      <c r="Z421" s="56"/>
      <c r="AA421" s="56"/>
      <c r="AB421" s="33"/>
      <c r="AC421" s="185"/>
      <c r="AD421" s="43"/>
      <c r="AE421" s="44"/>
      <c r="AF421" s="56"/>
      <c r="AG421" s="56"/>
      <c r="AH421" s="32"/>
      <c r="AI421" s="43"/>
      <c r="AJ421" s="44"/>
      <c r="AK421" s="56"/>
      <c r="AL421" s="56"/>
      <c r="AM421" s="32"/>
      <c r="AN421" s="43"/>
      <c r="AO421" s="44"/>
      <c r="AP421" s="56"/>
      <c r="AQ421" s="56"/>
      <c r="AR421" s="32"/>
      <c r="AS421" s="43"/>
      <c r="AT421" s="44"/>
      <c r="AU421" s="56"/>
      <c r="AV421" s="56"/>
      <c r="AW421" s="30"/>
      <c r="AX421" s="43"/>
      <c r="AY421" s="44"/>
      <c r="AZ421" s="56"/>
      <c r="BA421" s="56"/>
      <c r="BB421" s="9"/>
    </row>
    <row r="422" spans="1:54" x14ac:dyDescent="0.35">
      <c r="A422" s="57" t="s">
        <v>316</v>
      </c>
      <c r="B422" s="58" t="s">
        <v>317</v>
      </c>
      <c r="C422" s="59"/>
      <c r="D422" s="60"/>
      <c r="E422" s="61"/>
      <c r="F422" s="62"/>
      <c r="G422" s="62"/>
      <c r="H422" s="59"/>
      <c r="I422" s="60"/>
      <c r="J422" s="61"/>
      <c r="K422" s="62"/>
      <c r="L422" s="62"/>
      <c r="M422" s="30"/>
      <c r="N422" s="60"/>
      <c r="O422" s="61"/>
      <c r="P422" s="62"/>
      <c r="Q422" s="62"/>
      <c r="R422" s="30"/>
      <c r="S422" s="60"/>
      <c r="T422" s="61"/>
      <c r="U422" s="62"/>
      <c r="V422" s="62"/>
      <c r="W422" s="30"/>
      <c r="X422" s="60"/>
      <c r="Y422" s="61"/>
      <c r="Z422" s="62"/>
      <c r="AA422" s="62"/>
      <c r="AB422" s="59"/>
      <c r="AC422" s="63"/>
      <c r="AD422" s="60"/>
      <c r="AE422" s="61"/>
      <c r="AF422" s="62"/>
      <c r="AG422" s="62"/>
      <c r="AH422" s="32"/>
      <c r="AI422" s="60"/>
      <c r="AJ422" s="61"/>
      <c r="AK422" s="62"/>
      <c r="AL422" s="62"/>
      <c r="AM422" s="32"/>
      <c r="AN422" s="60"/>
      <c r="AO422" s="61"/>
      <c r="AP422" s="62"/>
      <c r="AQ422" s="62"/>
      <c r="AR422" s="32"/>
      <c r="AS422" s="60"/>
      <c r="AT422" s="61"/>
      <c r="AU422" s="62"/>
      <c r="AV422" s="62"/>
      <c r="AW422" s="30"/>
      <c r="AX422" s="60"/>
      <c r="AY422" s="61"/>
      <c r="AZ422" s="62"/>
      <c r="BA422" s="62"/>
      <c r="BB422" s="9"/>
    </row>
    <row r="423" spans="1:54" x14ac:dyDescent="0.35">
      <c r="A423" s="54"/>
      <c r="B423" s="55"/>
      <c r="C423" s="42"/>
      <c r="D423" s="43"/>
      <c r="E423" s="44"/>
      <c r="F423" s="89"/>
      <c r="G423" s="89"/>
      <c r="H423" s="42"/>
      <c r="I423" s="43"/>
      <c r="J423" s="44"/>
      <c r="K423" s="89"/>
      <c r="L423" s="89"/>
      <c r="M423" s="30"/>
      <c r="N423" s="43"/>
      <c r="O423" s="44"/>
      <c r="P423" s="89"/>
      <c r="Q423" s="89"/>
      <c r="R423" s="30"/>
      <c r="S423" s="43"/>
      <c r="T423" s="44"/>
      <c r="U423" s="89"/>
      <c r="V423" s="89"/>
      <c r="W423" s="30"/>
      <c r="X423" s="43"/>
      <c r="Y423" s="44"/>
      <c r="Z423" s="89"/>
      <c r="AA423" s="89"/>
      <c r="AB423" s="42"/>
      <c r="AC423" s="46"/>
      <c r="AD423" s="43"/>
      <c r="AE423" s="44"/>
      <c r="AF423" s="89"/>
      <c r="AG423" s="89"/>
      <c r="AH423" s="32"/>
      <c r="AI423" s="43"/>
      <c r="AJ423" s="44"/>
      <c r="AK423" s="89"/>
      <c r="AL423" s="89"/>
      <c r="AM423" s="32"/>
      <c r="AN423" s="43"/>
      <c r="AO423" s="44"/>
      <c r="AP423" s="89"/>
      <c r="AQ423" s="89"/>
      <c r="AR423" s="32"/>
      <c r="AS423" s="43"/>
      <c r="AT423" s="44"/>
      <c r="AU423" s="89"/>
      <c r="AV423" s="89"/>
      <c r="AW423" s="30"/>
      <c r="AX423" s="43"/>
      <c r="AY423" s="44"/>
      <c r="AZ423" s="89"/>
      <c r="BA423" s="89"/>
      <c r="BB423" s="9"/>
    </row>
    <row r="424" spans="1:54" x14ac:dyDescent="0.35">
      <c r="A424" s="54"/>
      <c r="B424" s="55" t="s">
        <v>155</v>
      </c>
      <c r="C424" s="74"/>
      <c r="D424" s="75"/>
      <c r="E424" s="44"/>
      <c r="F424" s="80"/>
      <c r="G424" s="45"/>
      <c r="H424" s="74"/>
      <c r="I424" s="75"/>
      <c r="J424" s="44"/>
      <c r="K424" s="80"/>
      <c r="L424" s="45"/>
      <c r="M424" s="30"/>
      <c r="N424" s="75"/>
      <c r="O424" s="44"/>
      <c r="P424" s="80"/>
      <c r="Q424" s="45"/>
      <c r="R424" s="30"/>
      <c r="S424" s="75"/>
      <c r="T424" s="44"/>
      <c r="U424" s="80"/>
      <c r="V424" s="45"/>
      <c r="W424" s="30"/>
      <c r="X424" s="75"/>
      <c r="Y424" s="44"/>
      <c r="Z424" s="80"/>
      <c r="AA424" s="45"/>
      <c r="AB424" s="74"/>
      <c r="AC424" s="46"/>
      <c r="AD424" s="75"/>
      <c r="AE424" s="44"/>
      <c r="AF424" s="80"/>
      <c r="AG424" s="45"/>
      <c r="AH424" s="32"/>
      <c r="AI424" s="75"/>
      <c r="AJ424" s="44"/>
      <c r="AK424" s="80"/>
      <c r="AL424" s="45"/>
      <c r="AM424" s="32"/>
      <c r="AN424" s="75"/>
      <c r="AO424" s="44"/>
      <c r="AP424" s="80"/>
      <c r="AQ424" s="45"/>
      <c r="AR424" s="32"/>
      <c r="AS424" s="75"/>
      <c r="AT424" s="44"/>
      <c r="AU424" s="80"/>
      <c r="AV424" s="45"/>
      <c r="AW424" s="30"/>
      <c r="AX424" s="75"/>
      <c r="AY424" s="44"/>
      <c r="AZ424" s="80"/>
      <c r="BA424" s="45"/>
      <c r="BB424" s="9"/>
    </row>
    <row r="425" spans="1:54" x14ac:dyDescent="0.35">
      <c r="A425" s="54"/>
      <c r="B425" s="86" t="s">
        <v>156</v>
      </c>
      <c r="C425" s="74" t="s">
        <v>27</v>
      </c>
      <c r="D425" s="75" t="s">
        <v>28</v>
      </c>
      <c r="E425" s="44">
        <v>1.4253831860411774</v>
      </c>
      <c r="F425" s="80">
        <v>2319.9999999999995</v>
      </c>
      <c r="G425" s="77">
        <v>3306.8889916155313</v>
      </c>
      <c r="H425" s="74"/>
      <c r="I425" s="75" t="s">
        <v>28</v>
      </c>
      <c r="J425" s="44">
        <v>0.1108766359743044</v>
      </c>
      <c r="K425" s="80">
        <v>2320</v>
      </c>
      <c r="L425" s="77">
        <v>257.2337954603862</v>
      </c>
      <c r="M425" s="30"/>
      <c r="N425" s="75" t="s">
        <v>28</v>
      </c>
      <c r="O425" s="44">
        <v>0.56427002475434718</v>
      </c>
      <c r="P425" s="80">
        <v>2320</v>
      </c>
      <c r="Q425" s="77">
        <v>1309.1064574300854</v>
      </c>
      <c r="R425" s="30"/>
      <c r="S425" s="75" t="s">
        <v>28</v>
      </c>
      <c r="T425" s="44">
        <v>0.75023652531252583</v>
      </c>
      <c r="U425" s="80">
        <v>2320</v>
      </c>
      <c r="V425" s="77">
        <v>1740.5487387250598</v>
      </c>
      <c r="W425" s="30"/>
      <c r="X425" s="75" t="s">
        <v>28</v>
      </c>
      <c r="Y425" s="44">
        <v>0</v>
      </c>
      <c r="Z425" s="80">
        <v>2320</v>
      </c>
      <c r="AA425" s="77">
        <v>0</v>
      </c>
      <c r="AB425" s="74"/>
      <c r="AC425" s="46">
        <f>[1]Calc!$B$34/[1]Calc!$B$47</f>
        <v>2.8050750609368586E-2</v>
      </c>
      <c r="AD425" s="75"/>
      <c r="AE425" s="44"/>
      <c r="AF425" s="80"/>
      <c r="AG425" s="77">
        <f>AC425*24106.352</f>
        <v>676.20126805365362</v>
      </c>
      <c r="AH425" s="32" t="e">
        <f>[1]Calc!$C$34/[1]Calc!$C$47</f>
        <v>#DIV/0!</v>
      </c>
      <c r="AI425" s="75"/>
      <c r="AJ425" s="44"/>
      <c r="AK425" s="80"/>
      <c r="AL425" s="77"/>
      <c r="AM425" s="32" t="e">
        <f>[1]Calc!$D$34/[1]Calc!$D$47</f>
        <v>#DIV/0!</v>
      </c>
      <c r="AN425" s="75"/>
      <c r="AO425" s="44"/>
      <c r="AP425" s="80"/>
      <c r="AQ425" s="77"/>
      <c r="AR425" s="32" t="e">
        <f>[1]Calc!$E$34/[1]Calc!$E$47</f>
        <v>#DIV/0!</v>
      </c>
      <c r="AS425" s="75"/>
      <c r="AT425" s="44"/>
      <c r="AU425" s="80"/>
      <c r="AV425" s="77"/>
      <c r="AW425" s="30"/>
      <c r="AX425" s="75"/>
      <c r="AY425" s="44"/>
      <c r="AZ425" s="80"/>
      <c r="BA425" s="77">
        <f t="shared" ref="BA425:BA430" si="16">AG425+AL425+AQ425+AV425</f>
        <v>676.20126805365362</v>
      </c>
      <c r="BB425" s="9"/>
    </row>
    <row r="426" spans="1:54" x14ac:dyDescent="0.35">
      <c r="A426" s="54"/>
      <c r="B426" s="86" t="s">
        <v>157</v>
      </c>
      <c r="C426" s="74" t="s">
        <v>27</v>
      </c>
      <c r="D426" s="75" t="s">
        <v>28</v>
      </c>
      <c r="E426" s="44">
        <v>4.165272922149228</v>
      </c>
      <c r="F426" s="80">
        <v>1499.9999999999998</v>
      </c>
      <c r="G426" s="77">
        <v>6247.9093832238414</v>
      </c>
      <c r="H426" s="74"/>
      <c r="I426" s="75" t="s">
        <v>28</v>
      </c>
      <c r="J426" s="44">
        <v>0.2217532719486088</v>
      </c>
      <c r="K426" s="80">
        <v>1500</v>
      </c>
      <c r="L426" s="77">
        <v>332.62990792291322</v>
      </c>
      <c r="M426" s="30"/>
      <c r="N426" s="75" t="s">
        <v>28</v>
      </c>
      <c r="O426" s="44">
        <v>1.6928100742630414</v>
      </c>
      <c r="P426" s="80">
        <v>1500</v>
      </c>
      <c r="Q426" s="77">
        <v>2539.215111394562</v>
      </c>
      <c r="R426" s="30"/>
      <c r="S426" s="75" t="s">
        <v>28</v>
      </c>
      <c r="T426" s="44">
        <v>2.2507095759375773</v>
      </c>
      <c r="U426" s="80">
        <v>1500</v>
      </c>
      <c r="V426" s="77">
        <v>3376.064363906366</v>
      </c>
      <c r="W426" s="30"/>
      <c r="X426" s="75" t="s">
        <v>28</v>
      </c>
      <c r="Y426" s="44">
        <v>0</v>
      </c>
      <c r="Z426" s="80">
        <v>1500</v>
      </c>
      <c r="AA426" s="77">
        <v>0</v>
      </c>
      <c r="AB426" s="74"/>
      <c r="AC426" s="46">
        <f>[1]Calc!$B$34/[1]Calc!$B$47</f>
        <v>2.8050750609368586E-2</v>
      </c>
      <c r="AD426" s="75"/>
      <c r="AE426" s="44"/>
      <c r="AF426" s="80"/>
      <c r="AG426" s="77">
        <f>AC426*21019.326</f>
        <v>589.60787160301697</v>
      </c>
      <c r="AH426" s="32" t="e">
        <f>[1]Calc!$C$34/[1]Calc!$C$47</f>
        <v>#DIV/0!</v>
      </c>
      <c r="AI426" s="75"/>
      <c r="AJ426" s="44"/>
      <c r="AK426" s="80"/>
      <c r="AL426" s="77"/>
      <c r="AM426" s="32" t="e">
        <f>[1]Calc!$D$34/[1]Calc!$D$47</f>
        <v>#DIV/0!</v>
      </c>
      <c r="AN426" s="75"/>
      <c r="AO426" s="44"/>
      <c r="AP426" s="80"/>
      <c r="AQ426" s="77"/>
      <c r="AR426" s="32" t="e">
        <f>[1]Calc!$E$34/[1]Calc!$E$47</f>
        <v>#DIV/0!</v>
      </c>
      <c r="AS426" s="75"/>
      <c r="AT426" s="44"/>
      <c r="AU426" s="80"/>
      <c r="AV426" s="77"/>
      <c r="AW426" s="30"/>
      <c r="AX426" s="75"/>
      <c r="AY426" s="44"/>
      <c r="AZ426" s="80"/>
      <c r="BA426" s="77">
        <f t="shared" si="16"/>
        <v>589.60787160301697</v>
      </c>
      <c r="BB426" s="9"/>
    </row>
    <row r="427" spans="1:54" x14ac:dyDescent="0.35">
      <c r="A427" s="54"/>
      <c r="B427" s="86" t="s">
        <v>158</v>
      </c>
      <c r="C427" s="74" t="s">
        <v>27</v>
      </c>
      <c r="D427" s="75" t="s">
        <v>28</v>
      </c>
      <c r="E427" s="44">
        <v>1.4007439336024432</v>
      </c>
      <c r="F427" s="80">
        <v>1920.0000000000002</v>
      </c>
      <c r="G427" s="77">
        <v>2689.4283525166911</v>
      </c>
      <c r="H427" s="74"/>
      <c r="I427" s="75" t="s">
        <v>28</v>
      </c>
      <c r="J427" s="44">
        <v>8.6237383535570075E-2</v>
      </c>
      <c r="K427" s="80">
        <v>1920</v>
      </c>
      <c r="L427" s="77">
        <v>165.57577638829454</v>
      </c>
      <c r="M427" s="30"/>
      <c r="N427" s="75" t="s">
        <v>28</v>
      </c>
      <c r="O427" s="44">
        <v>0.56427002475434718</v>
      </c>
      <c r="P427" s="80">
        <v>1920</v>
      </c>
      <c r="Q427" s="77">
        <v>1083.3984475283467</v>
      </c>
      <c r="R427" s="30"/>
      <c r="S427" s="75" t="s">
        <v>28</v>
      </c>
      <c r="T427" s="44">
        <v>0.75023652531252583</v>
      </c>
      <c r="U427" s="80">
        <v>1920</v>
      </c>
      <c r="V427" s="77">
        <v>1440.4541286000497</v>
      </c>
      <c r="W427" s="30"/>
      <c r="X427" s="75" t="s">
        <v>28</v>
      </c>
      <c r="Y427" s="44">
        <v>0</v>
      </c>
      <c r="Z427" s="80">
        <v>1920</v>
      </c>
      <c r="AA427" s="77">
        <v>0</v>
      </c>
      <c r="AB427" s="74"/>
      <c r="AC427" s="46">
        <f>[1]Calc!$B$34/[1]Calc!$B$47</f>
        <v>2.8050750609368586E-2</v>
      </c>
      <c r="AD427" s="75"/>
      <c r="AE427" s="44"/>
      <c r="AF427" s="80"/>
      <c r="AG427" s="77">
        <f>AC427*3058.706</f>
        <v>85.798999193379359</v>
      </c>
      <c r="AH427" s="32" t="e">
        <f>[1]Calc!$C$34/[1]Calc!$C$47</f>
        <v>#DIV/0!</v>
      </c>
      <c r="AI427" s="75"/>
      <c r="AJ427" s="44"/>
      <c r="AK427" s="80"/>
      <c r="AL427" s="77"/>
      <c r="AM427" s="32" t="e">
        <f>[1]Calc!$D$34/[1]Calc!$D$47</f>
        <v>#DIV/0!</v>
      </c>
      <c r="AN427" s="75"/>
      <c r="AO427" s="44"/>
      <c r="AP427" s="80"/>
      <c r="AQ427" s="77"/>
      <c r="AR427" s="32" t="e">
        <f>[1]Calc!$E$34/[1]Calc!$E$47</f>
        <v>#DIV/0!</v>
      </c>
      <c r="AS427" s="75"/>
      <c r="AT427" s="44"/>
      <c r="AU427" s="80"/>
      <c r="AV427" s="77"/>
      <c r="AW427" s="30"/>
      <c r="AX427" s="75"/>
      <c r="AY427" s="44"/>
      <c r="AZ427" s="80"/>
      <c r="BA427" s="77">
        <f t="shared" si="16"/>
        <v>85.798999193379359</v>
      </c>
      <c r="BB427" s="9"/>
    </row>
    <row r="428" spans="1:54" x14ac:dyDescent="0.35">
      <c r="A428" s="54"/>
      <c r="B428" s="86" t="s">
        <v>159</v>
      </c>
      <c r="C428" s="74" t="s">
        <v>35</v>
      </c>
      <c r="D428" s="75" t="s">
        <v>28</v>
      </c>
      <c r="E428" s="44">
        <v>4.2022318008073292</v>
      </c>
      <c r="F428" s="80">
        <v>609.79606894964149</v>
      </c>
      <c r="G428" s="77">
        <v>2562.5044329474822</v>
      </c>
      <c r="H428" s="74"/>
      <c r="I428" s="75" t="s">
        <v>28</v>
      </c>
      <c r="J428" s="44">
        <v>0.25871215060671027</v>
      </c>
      <c r="K428" s="80">
        <v>609.79606894964149</v>
      </c>
      <c r="L428" s="77">
        <v>157.76165242947954</v>
      </c>
      <c r="M428" s="30"/>
      <c r="N428" s="75" t="s">
        <v>28</v>
      </c>
      <c r="O428" s="44">
        <v>1.6928100742630414</v>
      </c>
      <c r="P428" s="80">
        <v>609.79606894964149</v>
      </c>
      <c r="Q428" s="77">
        <v>1032.2689287639535</v>
      </c>
      <c r="R428" s="30"/>
      <c r="S428" s="75" t="s">
        <v>28</v>
      </c>
      <c r="T428" s="44">
        <v>2.2507095759375773</v>
      </c>
      <c r="U428" s="80">
        <v>609.79606894964149</v>
      </c>
      <c r="V428" s="77">
        <v>1372.4738517540493</v>
      </c>
      <c r="W428" s="30"/>
      <c r="X428" s="75" t="s">
        <v>28</v>
      </c>
      <c r="Y428" s="44">
        <v>0</v>
      </c>
      <c r="Z428" s="80">
        <v>609.79606894964149</v>
      </c>
      <c r="AA428" s="77">
        <v>0</v>
      </c>
      <c r="AB428" s="74"/>
      <c r="AC428" s="46">
        <f>[1]Calc!$B$34/[1]Calc!$B$47</f>
        <v>2.8050750609368586E-2</v>
      </c>
      <c r="AD428" s="75"/>
      <c r="AE428" s="44"/>
      <c r="AF428" s="80"/>
      <c r="AG428" s="77">
        <f>AC428*14588.161</f>
        <v>409.20886606031706</v>
      </c>
      <c r="AH428" s="32" t="e">
        <f>[1]Calc!$C$34/[1]Calc!$C$47</f>
        <v>#DIV/0!</v>
      </c>
      <c r="AI428" s="75"/>
      <c r="AJ428" s="44"/>
      <c r="AK428" s="80"/>
      <c r="AL428" s="77"/>
      <c r="AM428" s="32" t="e">
        <f>[1]Calc!$D$34/[1]Calc!$D$47</f>
        <v>#DIV/0!</v>
      </c>
      <c r="AN428" s="75"/>
      <c r="AO428" s="44"/>
      <c r="AP428" s="80"/>
      <c r="AQ428" s="77"/>
      <c r="AR428" s="32" t="e">
        <f>[1]Calc!$E$34/[1]Calc!$E$47</f>
        <v>#DIV/0!</v>
      </c>
      <c r="AS428" s="75"/>
      <c r="AT428" s="44"/>
      <c r="AU428" s="80"/>
      <c r="AV428" s="77"/>
      <c r="AW428" s="30"/>
      <c r="AX428" s="75"/>
      <c r="AY428" s="44"/>
      <c r="AZ428" s="80"/>
      <c r="BA428" s="77">
        <f t="shared" si="16"/>
        <v>409.20886606031706</v>
      </c>
      <c r="BB428" s="9"/>
    </row>
    <row r="429" spans="1:54" x14ac:dyDescent="0.35">
      <c r="A429" s="54"/>
      <c r="B429" s="86" t="s">
        <v>160</v>
      </c>
      <c r="C429" s="74" t="s">
        <v>35</v>
      </c>
      <c r="D429" s="75" t="s">
        <v>28</v>
      </c>
      <c r="E429" s="44">
        <v>11.107394459064608</v>
      </c>
      <c r="F429" s="80">
        <v>533.57156033093634</v>
      </c>
      <c r="G429" s="77">
        <v>5926.5897927342994</v>
      </c>
      <c r="H429" s="74"/>
      <c r="I429" s="75" t="s">
        <v>28</v>
      </c>
      <c r="J429" s="82">
        <v>0.5913420585296234</v>
      </c>
      <c r="K429" s="83">
        <v>533.57156033093634</v>
      </c>
      <c r="L429" s="77">
        <v>315.52330485895902</v>
      </c>
      <c r="M429" s="30"/>
      <c r="N429" s="75" t="s">
        <v>28</v>
      </c>
      <c r="O429" s="82">
        <v>4.5141601980347774</v>
      </c>
      <c r="P429" s="83">
        <v>533.57156033093634</v>
      </c>
      <c r="Q429" s="77">
        <v>2408.627500449225</v>
      </c>
      <c r="R429" s="30"/>
      <c r="S429" s="75" t="s">
        <v>28</v>
      </c>
      <c r="T429" s="82">
        <v>6.0018922025002066</v>
      </c>
      <c r="U429" s="83">
        <v>533.57156033093634</v>
      </c>
      <c r="V429" s="77">
        <v>3202.4389874261155</v>
      </c>
      <c r="W429" s="30"/>
      <c r="X429" s="75" t="s">
        <v>28</v>
      </c>
      <c r="Y429" s="82">
        <v>0</v>
      </c>
      <c r="Z429" s="83">
        <v>533.57156033093634</v>
      </c>
      <c r="AA429" s="77">
        <v>0</v>
      </c>
      <c r="AB429" s="74"/>
      <c r="AC429" s="46">
        <f>[1]Calc!$B$34/[1]Calc!$B$47</f>
        <v>2.8050750609368586E-2</v>
      </c>
      <c r="AD429" s="75"/>
      <c r="AE429" s="82"/>
      <c r="AF429" s="83"/>
      <c r="AG429" s="77">
        <f>AC429*26052.739</f>
        <v>730.79888437997079</v>
      </c>
      <c r="AH429" s="32" t="e">
        <f>[1]Calc!$C$34/[1]Calc!$C$47</f>
        <v>#DIV/0!</v>
      </c>
      <c r="AI429" s="75"/>
      <c r="AJ429" s="82"/>
      <c r="AK429" s="83"/>
      <c r="AL429" s="77"/>
      <c r="AM429" s="32" t="e">
        <f>[1]Calc!$D$34/[1]Calc!$D$47</f>
        <v>#DIV/0!</v>
      </c>
      <c r="AN429" s="75"/>
      <c r="AO429" s="82"/>
      <c r="AP429" s="83"/>
      <c r="AQ429" s="77"/>
      <c r="AR429" s="32" t="e">
        <f>[1]Calc!$E$34/[1]Calc!$E$47</f>
        <v>#DIV/0!</v>
      </c>
      <c r="AS429" s="75"/>
      <c r="AT429" s="82"/>
      <c r="AU429" s="83"/>
      <c r="AV429" s="77"/>
      <c r="AW429" s="30"/>
      <c r="AX429" s="75"/>
      <c r="AY429" s="44"/>
      <c r="AZ429" s="80"/>
      <c r="BA429" s="77">
        <f t="shared" si="16"/>
        <v>730.79888437997079</v>
      </c>
      <c r="BB429" s="9"/>
    </row>
    <row r="430" spans="1:54" x14ac:dyDescent="0.35">
      <c r="A430" s="54"/>
      <c r="B430" s="85" t="s">
        <v>161</v>
      </c>
      <c r="C430" s="74" t="s">
        <v>27</v>
      </c>
      <c r="D430" s="75" t="s">
        <v>28</v>
      </c>
      <c r="E430" s="44">
        <v>0.85303287107457937</v>
      </c>
      <c r="F430" s="80">
        <v>220</v>
      </c>
      <c r="G430" s="77">
        <v>187.66723163640745</v>
      </c>
      <c r="H430" s="74"/>
      <c r="I430" s="75" t="s">
        <v>28</v>
      </c>
      <c r="J430" s="82">
        <v>8.6237383535570075E-2</v>
      </c>
      <c r="K430" s="173">
        <v>220</v>
      </c>
      <c r="L430" s="77">
        <v>18.972224377825416</v>
      </c>
      <c r="M430" s="30"/>
      <c r="N430" s="75" t="s">
        <v>28</v>
      </c>
      <c r="O430" s="82">
        <v>0.32915751444003583</v>
      </c>
      <c r="P430" s="83">
        <v>220</v>
      </c>
      <c r="Q430" s="77">
        <v>72.414653176807889</v>
      </c>
      <c r="R430" s="30"/>
      <c r="S430" s="75" t="s">
        <v>28</v>
      </c>
      <c r="T430" s="82">
        <v>0.4376379730989734</v>
      </c>
      <c r="U430" s="83">
        <v>220</v>
      </c>
      <c r="V430" s="77">
        <v>96.280354081774149</v>
      </c>
      <c r="W430" s="30"/>
      <c r="X430" s="75" t="s">
        <v>28</v>
      </c>
      <c r="Y430" s="82">
        <v>0</v>
      </c>
      <c r="Z430" s="83">
        <v>220</v>
      </c>
      <c r="AA430" s="77">
        <v>0</v>
      </c>
      <c r="AB430" s="74"/>
      <c r="AC430" s="46">
        <f>[1]Calc!$B$34/[1]Calc!$B$47</f>
        <v>2.8050750609368586E-2</v>
      </c>
      <c r="AD430" s="75"/>
      <c r="AE430" s="82"/>
      <c r="AF430" s="173"/>
      <c r="AG430" s="77">
        <f>AC430*0</f>
        <v>0</v>
      </c>
      <c r="AH430" s="32" t="e">
        <f>[1]Calc!$C$34/[1]Calc!$C$47</f>
        <v>#DIV/0!</v>
      </c>
      <c r="AI430" s="75"/>
      <c r="AJ430" s="82"/>
      <c r="AK430" s="83"/>
      <c r="AL430" s="77"/>
      <c r="AM430" s="32" t="e">
        <f>[1]Calc!$D$34/[1]Calc!$D$47</f>
        <v>#DIV/0!</v>
      </c>
      <c r="AN430" s="75"/>
      <c r="AO430" s="82"/>
      <c r="AP430" s="83"/>
      <c r="AQ430" s="77"/>
      <c r="AR430" s="32" t="e">
        <f>[1]Calc!$E$34/[1]Calc!$E$47</f>
        <v>#DIV/0!</v>
      </c>
      <c r="AS430" s="75"/>
      <c r="AT430" s="82"/>
      <c r="AU430" s="83"/>
      <c r="AV430" s="77"/>
      <c r="AW430" s="30"/>
      <c r="AX430" s="75"/>
      <c r="AY430" s="44"/>
      <c r="AZ430" s="80"/>
      <c r="BA430" s="77">
        <f t="shared" si="16"/>
        <v>0</v>
      </c>
      <c r="BB430" s="9"/>
    </row>
    <row r="431" spans="1:54" x14ac:dyDescent="0.35">
      <c r="A431" s="54"/>
      <c r="B431" s="55"/>
      <c r="C431" s="42"/>
      <c r="D431" s="43"/>
      <c r="E431" s="44"/>
      <c r="F431" s="89"/>
      <c r="G431" s="77"/>
      <c r="H431" s="42"/>
      <c r="I431" s="43"/>
      <c r="J431" s="44"/>
      <c r="K431" s="89"/>
      <c r="L431" s="77"/>
      <c r="M431" s="30"/>
      <c r="N431" s="43"/>
      <c r="O431" s="44"/>
      <c r="P431" s="89"/>
      <c r="Q431" s="77"/>
      <c r="R431" s="30"/>
      <c r="S431" s="43"/>
      <c r="T431" s="44"/>
      <c r="U431" s="89"/>
      <c r="V431" s="77"/>
      <c r="W431" s="30"/>
      <c r="X431" s="43"/>
      <c r="Y431" s="44"/>
      <c r="Z431" s="89"/>
      <c r="AA431" s="77"/>
      <c r="AB431" s="42"/>
      <c r="AC431" s="46"/>
      <c r="AD431" s="43"/>
      <c r="AE431" s="44"/>
      <c r="AF431" s="89"/>
      <c r="AG431" s="77"/>
      <c r="AH431" s="32" t="e">
        <f>[1]Calc!$C$34/[1]Calc!$C$47</f>
        <v>#DIV/0!</v>
      </c>
      <c r="AI431" s="43"/>
      <c r="AJ431" s="44"/>
      <c r="AK431" s="89"/>
      <c r="AL431" s="77"/>
      <c r="AM431" s="32" t="e">
        <f>[1]Calc!$D$34/[1]Calc!$D$47</f>
        <v>#DIV/0!</v>
      </c>
      <c r="AN431" s="43"/>
      <c r="AO431" s="44"/>
      <c r="AP431" s="89"/>
      <c r="AQ431" s="77"/>
      <c r="AR431" s="32" t="e">
        <f>[1]Calc!$E$34/[1]Calc!$E$47</f>
        <v>#DIV/0!</v>
      </c>
      <c r="AS431" s="43"/>
      <c r="AT431" s="44"/>
      <c r="AU431" s="89"/>
      <c r="AV431" s="77"/>
      <c r="AW431" s="30"/>
      <c r="AX431" s="43"/>
      <c r="AY431" s="44"/>
      <c r="AZ431" s="89"/>
      <c r="BA431" s="77"/>
      <c r="BB431" s="9"/>
    </row>
    <row r="432" spans="1:54" x14ac:dyDescent="0.35">
      <c r="A432" s="54"/>
      <c r="B432" s="55" t="s">
        <v>162</v>
      </c>
      <c r="C432" s="175"/>
      <c r="D432" s="43"/>
      <c r="E432" s="44"/>
      <c r="F432" s="45"/>
      <c r="G432" s="77"/>
      <c r="H432" s="175"/>
      <c r="I432" s="43"/>
      <c r="J432" s="44"/>
      <c r="K432" s="45"/>
      <c r="L432" s="77"/>
      <c r="M432" s="30"/>
      <c r="N432" s="43"/>
      <c r="O432" s="44"/>
      <c r="P432" s="45"/>
      <c r="Q432" s="77"/>
      <c r="R432" s="30"/>
      <c r="S432" s="43"/>
      <c r="T432" s="44"/>
      <c r="U432" s="45"/>
      <c r="V432" s="77"/>
      <c r="W432" s="30"/>
      <c r="X432" s="43"/>
      <c r="Y432" s="44"/>
      <c r="Z432" s="45"/>
      <c r="AA432" s="77"/>
      <c r="AB432" s="175"/>
      <c r="AC432" s="46"/>
      <c r="AD432" s="43"/>
      <c r="AE432" s="44"/>
      <c r="AF432" s="45"/>
      <c r="AG432" s="77"/>
      <c r="AH432" s="32" t="e">
        <f>[1]Calc!$C$34/[1]Calc!$C$47</f>
        <v>#DIV/0!</v>
      </c>
      <c r="AI432" s="43"/>
      <c r="AJ432" s="44"/>
      <c r="AK432" s="45"/>
      <c r="AL432" s="77"/>
      <c r="AM432" s="32" t="e">
        <f>[1]Calc!$D$34/[1]Calc!$D$47</f>
        <v>#DIV/0!</v>
      </c>
      <c r="AN432" s="43"/>
      <c r="AO432" s="44"/>
      <c r="AP432" s="45"/>
      <c r="AQ432" s="77"/>
      <c r="AR432" s="32" t="e">
        <f>[1]Calc!$E$34/[1]Calc!$E$47</f>
        <v>#DIV/0!</v>
      </c>
      <c r="AS432" s="43"/>
      <c r="AT432" s="44"/>
      <c r="AU432" s="45"/>
      <c r="AV432" s="77"/>
      <c r="AW432" s="30"/>
      <c r="AX432" s="43"/>
      <c r="AY432" s="44"/>
      <c r="AZ432" s="45"/>
      <c r="BA432" s="77"/>
      <c r="BB432" s="9"/>
    </row>
    <row r="433" spans="1:54" x14ac:dyDescent="0.35">
      <c r="A433" s="54"/>
      <c r="B433" s="86" t="s">
        <v>163</v>
      </c>
      <c r="C433" s="74"/>
      <c r="D433" s="75"/>
      <c r="E433" s="76"/>
      <c r="F433" s="77"/>
      <c r="G433" s="77"/>
      <c r="H433" s="74"/>
      <c r="I433" s="75"/>
      <c r="J433" s="76"/>
      <c r="K433" s="77"/>
      <c r="L433" s="77"/>
      <c r="M433" s="30"/>
      <c r="N433" s="75"/>
      <c r="O433" s="76"/>
      <c r="P433" s="77"/>
      <c r="Q433" s="77"/>
      <c r="R433" s="30"/>
      <c r="S433" s="75"/>
      <c r="T433" s="76"/>
      <c r="U433" s="77"/>
      <c r="V433" s="77"/>
      <c r="W433" s="30"/>
      <c r="X433" s="75"/>
      <c r="Y433" s="76"/>
      <c r="Z433" s="77"/>
      <c r="AA433" s="77"/>
      <c r="AB433" s="74"/>
      <c r="AC433" s="46"/>
      <c r="AD433" s="75"/>
      <c r="AE433" s="76"/>
      <c r="AF433" s="77"/>
      <c r="AG433" s="77"/>
      <c r="AH433" s="32" t="e">
        <f>[1]Calc!$C$34/[1]Calc!$C$47</f>
        <v>#DIV/0!</v>
      </c>
      <c r="AI433" s="75"/>
      <c r="AJ433" s="76"/>
      <c r="AK433" s="77"/>
      <c r="AL433" s="77"/>
      <c r="AM433" s="32" t="e">
        <f>[1]Calc!$D$34/[1]Calc!$D$47</f>
        <v>#DIV/0!</v>
      </c>
      <c r="AN433" s="75"/>
      <c r="AO433" s="76"/>
      <c r="AP433" s="77"/>
      <c r="AQ433" s="77"/>
      <c r="AR433" s="32" t="e">
        <f>[1]Calc!$E$34/[1]Calc!$E$47</f>
        <v>#DIV/0!</v>
      </c>
      <c r="AS433" s="75"/>
      <c r="AT433" s="76"/>
      <c r="AU433" s="77"/>
      <c r="AV433" s="77"/>
      <c r="AW433" s="30"/>
      <c r="AX433" s="75"/>
      <c r="AY433" s="76"/>
      <c r="AZ433" s="77"/>
      <c r="BA433" s="77"/>
      <c r="BB433" s="9"/>
    </row>
    <row r="434" spans="1:54" x14ac:dyDescent="0.35">
      <c r="A434" s="54"/>
      <c r="B434" s="79" t="s">
        <v>164</v>
      </c>
      <c r="C434" s="74" t="s">
        <v>27</v>
      </c>
      <c r="D434" s="75" t="s">
        <v>165</v>
      </c>
      <c r="E434" s="44">
        <v>0.36558551617481971</v>
      </c>
      <c r="F434" s="80">
        <v>396</v>
      </c>
      <c r="G434" s="77">
        <v>144.7718644052286</v>
      </c>
      <c r="H434" s="74"/>
      <c r="I434" s="75" t="s">
        <v>165</v>
      </c>
      <c r="J434" s="76">
        <v>3.6958878658101463E-2</v>
      </c>
      <c r="K434" s="77">
        <v>396</v>
      </c>
      <c r="L434" s="77">
        <v>14.63571594860818</v>
      </c>
      <c r="M434" s="30"/>
      <c r="N434" s="75" t="s">
        <v>165</v>
      </c>
      <c r="O434" s="76">
        <v>0.14106750618858679</v>
      </c>
      <c r="P434" s="77">
        <v>396</v>
      </c>
      <c r="Q434" s="77">
        <v>55.862732450680369</v>
      </c>
      <c r="R434" s="30"/>
      <c r="S434" s="75" t="s">
        <v>165</v>
      </c>
      <c r="T434" s="76">
        <v>0.18755913132813146</v>
      </c>
      <c r="U434" s="77">
        <v>396</v>
      </c>
      <c r="V434" s="77">
        <v>74.273416005940064</v>
      </c>
      <c r="W434" s="30"/>
      <c r="X434" s="75" t="s">
        <v>165</v>
      </c>
      <c r="Y434" s="76">
        <v>0</v>
      </c>
      <c r="Z434" s="77">
        <v>396</v>
      </c>
      <c r="AA434" s="77">
        <v>0</v>
      </c>
      <c r="AB434" s="74"/>
      <c r="AC434" s="46">
        <f>[1]Calc!$B$34/[1]Calc!$B$47</f>
        <v>2.8050750609368586E-2</v>
      </c>
      <c r="AD434" s="75"/>
      <c r="AE434" s="76"/>
      <c r="AF434" s="77"/>
      <c r="AG434" s="77">
        <f>AC434*1862.561</f>
        <v>52.246234105736164</v>
      </c>
      <c r="AH434" s="32" t="e">
        <f>[1]Calc!$C$34/[1]Calc!$C$47</f>
        <v>#DIV/0!</v>
      </c>
      <c r="AI434" s="75"/>
      <c r="AJ434" s="76"/>
      <c r="AK434" s="77"/>
      <c r="AL434" s="77"/>
      <c r="AM434" s="32" t="e">
        <f>[1]Calc!$D$34/[1]Calc!$D$47</f>
        <v>#DIV/0!</v>
      </c>
      <c r="AN434" s="75"/>
      <c r="AO434" s="76"/>
      <c r="AP434" s="77"/>
      <c r="AQ434" s="77"/>
      <c r="AR434" s="32" t="e">
        <f>[1]Calc!$E$34/[1]Calc!$E$47</f>
        <v>#DIV/0!</v>
      </c>
      <c r="AS434" s="75"/>
      <c r="AT434" s="76"/>
      <c r="AU434" s="77"/>
      <c r="AV434" s="77"/>
      <c r="AW434" s="30"/>
      <c r="AX434" s="75"/>
      <c r="AY434" s="44"/>
      <c r="AZ434" s="80"/>
      <c r="BA434" s="77">
        <f>AG434+AL434+AQ434+AV434</f>
        <v>52.246234105736164</v>
      </c>
      <c r="BB434" s="9"/>
    </row>
    <row r="435" spans="1:54" x14ac:dyDescent="0.35">
      <c r="A435" s="54"/>
      <c r="B435" s="79" t="s">
        <v>166</v>
      </c>
      <c r="C435" s="74" t="s">
        <v>27</v>
      </c>
      <c r="D435" s="75" t="s">
        <v>165</v>
      </c>
      <c r="E435" s="44">
        <v>0.1218618387249399</v>
      </c>
      <c r="F435" s="80">
        <v>610</v>
      </c>
      <c r="G435" s="77">
        <v>74.335721622213342</v>
      </c>
      <c r="H435" s="74"/>
      <c r="I435" s="75" t="s">
        <v>165</v>
      </c>
      <c r="J435" s="76">
        <v>1.2319626219367155E-2</v>
      </c>
      <c r="K435" s="77">
        <v>610</v>
      </c>
      <c r="L435" s="77">
        <v>7.5149719938139645</v>
      </c>
      <c r="M435" s="30"/>
      <c r="N435" s="75" t="s">
        <v>165</v>
      </c>
      <c r="O435" s="76">
        <v>4.7022502062862258E-2</v>
      </c>
      <c r="P435" s="77">
        <v>610</v>
      </c>
      <c r="Q435" s="77">
        <v>28.683726258345978</v>
      </c>
      <c r="R435" s="30"/>
      <c r="S435" s="75" t="s">
        <v>165</v>
      </c>
      <c r="T435" s="76">
        <v>6.2519710442710485E-2</v>
      </c>
      <c r="U435" s="77">
        <v>610</v>
      </c>
      <c r="V435" s="77">
        <v>38.137023370053399</v>
      </c>
      <c r="W435" s="30"/>
      <c r="X435" s="75" t="s">
        <v>165</v>
      </c>
      <c r="Y435" s="76">
        <v>0</v>
      </c>
      <c r="Z435" s="77">
        <v>610</v>
      </c>
      <c r="AA435" s="77">
        <v>0</v>
      </c>
      <c r="AB435" s="74"/>
      <c r="AC435" s="46">
        <f>[1]Calc!$B$34/[1]Calc!$B$47</f>
        <v>2.8050750609368586E-2</v>
      </c>
      <c r="AD435" s="75"/>
      <c r="AE435" s="76"/>
      <c r="AF435" s="77"/>
      <c r="AG435" s="77">
        <f>AC435*0</f>
        <v>0</v>
      </c>
      <c r="AH435" s="32" t="e">
        <f>[1]Calc!$C$34/[1]Calc!$C$47</f>
        <v>#DIV/0!</v>
      </c>
      <c r="AI435" s="75"/>
      <c r="AJ435" s="76"/>
      <c r="AK435" s="77"/>
      <c r="AL435" s="77"/>
      <c r="AM435" s="32" t="e">
        <f>[1]Calc!$D$34/[1]Calc!$D$47</f>
        <v>#DIV/0!</v>
      </c>
      <c r="AN435" s="75"/>
      <c r="AO435" s="76"/>
      <c r="AP435" s="77"/>
      <c r="AQ435" s="77"/>
      <c r="AR435" s="32" t="e">
        <f>[1]Calc!$E$34/[1]Calc!$E$47</f>
        <v>#DIV/0!</v>
      </c>
      <c r="AS435" s="75"/>
      <c r="AT435" s="76"/>
      <c r="AU435" s="77"/>
      <c r="AV435" s="77"/>
      <c r="AW435" s="30"/>
      <c r="AX435" s="75"/>
      <c r="AY435" s="44"/>
      <c r="AZ435" s="80"/>
      <c r="BA435" s="77">
        <f>AG435+AL435+AQ435+AV435</f>
        <v>0</v>
      </c>
      <c r="BB435" s="9"/>
    </row>
    <row r="436" spans="1:54" x14ac:dyDescent="0.35">
      <c r="A436" s="54"/>
      <c r="B436" s="86"/>
      <c r="C436" s="74"/>
      <c r="D436" s="75"/>
      <c r="E436" s="76"/>
      <c r="F436" s="77"/>
      <c r="G436" s="77"/>
      <c r="H436" s="74"/>
      <c r="I436" s="75"/>
      <c r="J436" s="76"/>
      <c r="K436" s="77"/>
      <c r="L436" s="77"/>
      <c r="M436" s="30"/>
      <c r="N436" s="75"/>
      <c r="O436" s="76"/>
      <c r="P436" s="77"/>
      <c r="Q436" s="77"/>
      <c r="R436" s="30"/>
      <c r="S436" s="75"/>
      <c r="T436" s="76"/>
      <c r="U436" s="77"/>
      <c r="V436" s="77"/>
      <c r="W436" s="30"/>
      <c r="X436" s="75"/>
      <c r="Y436" s="76"/>
      <c r="Z436" s="77"/>
      <c r="AA436" s="77"/>
      <c r="AB436" s="74"/>
      <c r="AC436" s="46"/>
      <c r="AD436" s="75"/>
      <c r="AE436" s="76"/>
      <c r="AF436" s="77"/>
      <c r="AG436" s="77"/>
      <c r="AH436" s="32" t="e">
        <f>[1]Calc!$C$34/[1]Calc!$C$47</f>
        <v>#DIV/0!</v>
      </c>
      <c r="AI436" s="75"/>
      <c r="AJ436" s="76"/>
      <c r="AK436" s="77"/>
      <c r="AL436" s="77"/>
      <c r="AM436" s="32" t="e">
        <f>[1]Calc!$D$34/[1]Calc!$D$47</f>
        <v>#DIV/0!</v>
      </c>
      <c r="AN436" s="75"/>
      <c r="AO436" s="76"/>
      <c r="AP436" s="77"/>
      <c r="AQ436" s="77"/>
      <c r="AR436" s="32" t="e">
        <f>[1]Calc!$E$34/[1]Calc!$E$47</f>
        <v>#DIV/0!</v>
      </c>
      <c r="AS436" s="75"/>
      <c r="AT436" s="76"/>
      <c r="AU436" s="77"/>
      <c r="AV436" s="77"/>
      <c r="AW436" s="30"/>
      <c r="AX436" s="75"/>
      <c r="AY436" s="76"/>
      <c r="AZ436" s="77"/>
      <c r="BA436" s="77"/>
      <c r="BB436" s="9"/>
    </row>
    <row r="437" spans="1:54" x14ac:dyDescent="0.35">
      <c r="A437" s="54"/>
      <c r="B437" s="86" t="s">
        <v>167</v>
      </c>
      <c r="C437" s="74"/>
      <c r="D437" s="75"/>
      <c r="E437" s="76"/>
      <c r="F437" s="77"/>
      <c r="G437" s="77"/>
      <c r="H437" s="74"/>
      <c r="I437" s="75"/>
      <c r="J437" s="76"/>
      <c r="K437" s="77"/>
      <c r="L437" s="77"/>
      <c r="M437" s="30"/>
      <c r="N437" s="75"/>
      <c r="O437" s="76"/>
      <c r="P437" s="77"/>
      <c r="Q437" s="77"/>
      <c r="R437" s="30"/>
      <c r="S437" s="75"/>
      <c r="T437" s="76"/>
      <c r="U437" s="77"/>
      <c r="V437" s="77"/>
      <c r="W437" s="30"/>
      <c r="X437" s="75"/>
      <c r="Y437" s="76"/>
      <c r="Z437" s="77"/>
      <c r="AA437" s="77"/>
      <c r="AB437" s="74"/>
      <c r="AC437" s="46"/>
      <c r="AD437" s="75"/>
      <c r="AE437" s="76"/>
      <c r="AF437" s="77"/>
      <c r="AG437" s="77"/>
      <c r="AH437" s="32" t="e">
        <f>[1]Calc!$C$34/[1]Calc!$C$47</f>
        <v>#DIV/0!</v>
      </c>
      <c r="AI437" s="75"/>
      <c r="AJ437" s="76"/>
      <c r="AK437" s="77"/>
      <c r="AL437" s="77"/>
      <c r="AM437" s="32" t="e">
        <f>[1]Calc!$D$34/[1]Calc!$D$47</f>
        <v>#DIV/0!</v>
      </c>
      <c r="AN437" s="75"/>
      <c r="AO437" s="76"/>
      <c r="AP437" s="77"/>
      <c r="AQ437" s="77"/>
      <c r="AR437" s="32" t="e">
        <f>[1]Calc!$E$34/[1]Calc!$E$47</f>
        <v>#DIV/0!</v>
      </c>
      <c r="AS437" s="75"/>
      <c r="AT437" s="76"/>
      <c r="AU437" s="77"/>
      <c r="AV437" s="77"/>
      <c r="AW437" s="30"/>
      <c r="AX437" s="75"/>
      <c r="AY437" s="76"/>
      <c r="AZ437" s="77"/>
      <c r="BA437" s="77"/>
      <c r="BB437" s="9"/>
    </row>
    <row r="438" spans="1:54" x14ac:dyDescent="0.35">
      <c r="A438" s="54"/>
      <c r="B438" s="86" t="s">
        <v>168</v>
      </c>
      <c r="C438" s="74" t="s">
        <v>27</v>
      </c>
      <c r="D438" s="75" t="s">
        <v>103</v>
      </c>
      <c r="E438" s="44">
        <v>1.218618387249399</v>
      </c>
      <c r="F438" s="80">
        <v>76</v>
      </c>
      <c r="G438" s="77">
        <v>92.614997430954318</v>
      </c>
      <c r="H438" s="74"/>
      <c r="I438" s="75" t="s">
        <v>103</v>
      </c>
      <c r="J438" s="76">
        <v>0.12319626219367155</v>
      </c>
      <c r="K438" s="77">
        <v>76</v>
      </c>
      <c r="L438" s="77">
        <v>9.3629159267190385</v>
      </c>
      <c r="M438" s="30"/>
      <c r="N438" s="75" t="s">
        <v>103</v>
      </c>
      <c r="O438" s="76">
        <v>0.47022502062862259</v>
      </c>
      <c r="P438" s="77">
        <v>76</v>
      </c>
      <c r="Q438" s="77">
        <v>35.737101567775319</v>
      </c>
      <c r="R438" s="30"/>
      <c r="S438" s="75" t="s">
        <v>103</v>
      </c>
      <c r="T438" s="76">
        <v>0.62519710442710474</v>
      </c>
      <c r="U438" s="77">
        <v>76</v>
      </c>
      <c r="V438" s="77">
        <v>47.514979936459959</v>
      </c>
      <c r="W438" s="30"/>
      <c r="X438" s="75" t="s">
        <v>103</v>
      </c>
      <c r="Y438" s="76">
        <v>0</v>
      </c>
      <c r="Z438" s="77">
        <v>76</v>
      </c>
      <c r="AA438" s="77">
        <v>0</v>
      </c>
      <c r="AB438" s="74"/>
      <c r="AC438" s="46">
        <f>[1]Calc!$B$34/[1]Calc!$B$47</f>
        <v>2.8050750609368586E-2</v>
      </c>
      <c r="AD438" s="75"/>
      <c r="AE438" s="76"/>
      <c r="AF438" s="77"/>
      <c r="AG438" s="77">
        <f>AC438*1004.635</f>
        <v>28.180765838443008</v>
      </c>
      <c r="AH438" s="32" t="e">
        <f>[1]Calc!$C$34/[1]Calc!$C$47</f>
        <v>#DIV/0!</v>
      </c>
      <c r="AI438" s="75"/>
      <c r="AJ438" s="76"/>
      <c r="AK438" s="77"/>
      <c r="AL438" s="77"/>
      <c r="AM438" s="32" t="e">
        <f>[1]Calc!$D$34/[1]Calc!$D$47</f>
        <v>#DIV/0!</v>
      </c>
      <c r="AN438" s="75"/>
      <c r="AO438" s="76"/>
      <c r="AP438" s="77"/>
      <c r="AQ438" s="77"/>
      <c r="AR438" s="32" t="e">
        <f>[1]Calc!$E$34/[1]Calc!$E$47</f>
        <v>#DIV/0!</v>
      </c>
      <c r="AS438" s="75"/>
      <c r="AT438" s="76"/>
      <c r="AU438" s="77"/>
      <c r="AV438" s="77"/>
      <c r="AW438" s="30"/>
      <c r="AX438" s="75"/>
      <c r="AY438" s="44"/>
      <c r="AZ438" s="80"/>
      <c r="BA438" s="77">
        <f>AG438+AL438+AQ438+AV438</f>
        <v>28.180765838443008</v>
      </c>
      <c r="BB438" s="9"/>
    </row>
    <row r="439" spans="1:54" x14ac:dyDescent="0.35">
      <c r="A439" s="54"/>
      <c r="B439" s="86" t="s">
        <v>169</v>
      </c>
      <c r="C439" s="74" t="s">
        <v>27</v>
      </c>
      <c r="D439" s="75" t="s">
        <v>103</v>
      </c>
      <c r="E439" s="44">
        <v>0.9748947097995192</v>
      </c>
      <c r="F439" s="80">
        <v>75.999999999999986</v>
      </c>
      <c r="G439" s="77">
        <v>74.091997944763449</v>
      </c>
      <c r="H439" s="74"/>
      <c r="I439" s="75" t="s">
        <v>103</v>
      </c>
      <c r="J439" s="76">
        <v>9.8557009754937239E-2</v>
      </c>
      <c r="K439" s="77">
        <v>76</v>
      </c>
      <c r="L439" s="77">
        <v>7.4903327413752301</v>
      </c>
      <c r="M439" s="30"/>
      <c r="N439" s="75" t="s">
        <v>103</v>
      </c>
      <c r="O439" s="76">
        <v>0.37618001650289806</v>
      </c>
      <c r="P439" s="77">
        <v>76</v>
      </c>
      <c r="Q439" s="77">
        <v>28.589681254220253</v>
      </c>
      <c r="R439" s="30"/>
      <c r="S439" s="75" t="s">
        <v>103</v>
      </c>
      <c r="T439" s="76">
        <v>0.50015768354168388</v>
      </c>
      <c r="U439" s="77">
        <v>76</v>
      </c>
      <c r="V439" s="77">
        <v>38.011983949167977</v>
      </c>
      <c r="W439" s="30"/>
      <c r="X439" s="75" t="s">
        <v>103</v>
      </c>
      <c r="Y439" s="76">
        <v>0</v>
      </c>
      <c r="Z439" s="77">
        <v>76</v>
      </c>
      <c r="AA439" s="77">
        <v>0</v>
      </c>
      <c r="AB439" s="74"/>
      <c r="AC439" s="46">
        <f>[1]Calc!$B$34/[1]Calc!$B$47</f>
        <v>2.8050750609368586E-2</v>
      </c>
      <c r="AD439" s="75"/>
      <c r="AE439" s="76"/>
      <c r="AF439" s="77"/>
      <c r="AG439" s="77">
        <f>AC439*1222.923</f>
        <v>34.303908087460862</v>
      </c>
      <c r="AH439" s="32" t="e">
        <f>[1]Calc!$C$34/[1]Calc!$C$47</f>
        <v>#DIV/0!</v>
      </c>
      <c r="AI439" s="75"/>
      <c r="AJ439" s="76"/>
      <c r="AK439" s="77"/>
      <c r="AL439" s="77"/>
      <c r="AM439" s="32" t="e">
        <f>[1]Calc!$D$34/[1]Calc!$D$47</f>
        <v>#DIV/0!</v>
      </c>
      <c r="AN439" s="75"/>
      <c r="AO439" s="76"/>
      <c r="AP439" s="77"/>
      <c r="AQ439" s="77"/>
      <c r="AR439" s="32" t="e">
        <f>[1]Calc!$E$34/[1]Calc!$E$47</f>
        <v>#DIV/0!</v>
      </c>
      <c r="AS439" s="75"/>
      <c r="AT439" s="76"/>
      <c r="AU439" s="77"/>
      <c r="AV439" s="77"/>
      <c r="AW439" s="30"/>
      <c r="AX439" s="75"/>
      <c r="AY439" s="44"/>
      <c r="AZ439" s="80"/>
      <c r="BA439" s="77">
        <f>AG439+AL439+AQ439+AV439</f>
        <v>34.303908087460862</v>
      </c>
      <c r="BB439" s="9"/>
    </row>
    <row r="440" spans="1:54" x14ac:dyDescent="0.35">
      <c r="A440" s="54"/>
      <c r="B440" s="86" t="s">
        <v>170</v>
      </c>
      <c r="C440" s="74" t="s">
        <v>27</v>
      </c>
      <c r="D440" s="75" t="s">
        <v>103</v>
      </c>
      <c r="E440" s="44">
        <v>0.1218618387249399</v>
      </c>
      <c r="F440" s="80">
        <v>151.99999999999997</v>
      </c>
      <c r="G440" s="77">
        <v>18.522999486190862</v>
      </c>
      <c r="H440" s="74"/>
      <c r="I440" s="75" t="s">
        <v>103</v>
      </c>
      <c r="J440" s="76">
        <v>1.2319626219367155E-2</v>
      </c>
      <c r="K440" s="77">
        <v>152</v>
      </c>
      <c r="L440" s="77">
        <v>1.8725831853438075</v>
      </c>
      <c r="M440" s="30"/>
      <c r="N440" s="75" t="s">
        <v>103</v>
      </c>
      <c r="O440" s="76">
        <v>4.7022502062862258E-2</v>
      </c>
      <c r="P440" s="77">
        <v>152</v>
      </c>
      <c r="Q440" s="77">
        <v>7.1474203135550631</v>
      </c>
      <c r="R440" s="30"/>
      <c r="S440" s="75" t="s">
        <v>103</v>
      </c>
      <c r="T440" s="76">
        <v>6.2519710442710485E-2</v>
      </c>
      <c r="U440" s="77">
        <v>152</v>
      </c>
      <c r="V440" s="77">
        <v>9.5029959872919942</v>
      </c>
      <c r="W440" s="30"/>
      <c r="X440" s="75" t="s">
        <v>103</v>
      </c>
      <c r="Y440" s="76">
        <v>0</v>
      </c>
      <c r="Z440" s="77">
        <v>152</v>
      </c>
      <c r="AA440" s="77">
        <v>0</v>
      </c>
      <c r="AB440" s="74"/>
      <c r="AC440" s="46">
        <f>[1]Calc!$B$34/[1]Calc!$B$47</f>
        <v>2.8050750609368586E-2</v>
      </c>
      <c r="AD440" s="75"/>
      <c r="AE440" s="76"/>
      <c r="AF440" s="77"/>
      <c r="AG440" s="77">
        <f>AC440*0</f>
        <v>0</v>
      </c>
      <c r="AH440" s="32" t="e">
        <f>[1]Calc!$C$34/[1]Calc!$C$47</f>
        <v>#DIV/0!</v>
      </c>
      <c r="AI440" s="75"/>
      <c r="AJ440" s="76"/>
      <c r="AK440" s="77"/>
      <c r="AL440" s="77"/>
      <c r="AM440" s="32" t="e">
        <f>[1]Calc!$D$34/[1]Calc!$D$47</f>
        <v>#DIV/0!</v>
      </c>
      <c r="AN440" s="75"/>
      <c r="AO440" s="76"/>
      <c r="AP440" s="77"/>
      <c r="AQ440" s="77"/>
      <c r="AR440" s="32" t="e">
        <f>[1]Calc!$E$34/[1]Calc!$E$47</f>
        <v>#DIV/0!</v>
      </c>
      <c r="AS440" s="75"/>
      <c r="AT440" s="76"/>
      <c r="AU440" s="77"/>
      <c r="AV440" s="77"/>
      <c r="AW440" s="30"/>
      <c r="AX440" s="75"/>
      <c r="AY440" s="44"/>
      <c r="AZ440" s="80"/>
      <c r="BA440" s="77">
        <f>AG440+AL440+AQ440+AV440</f>
        <v>0</v>
      </c>
      <c r="BB440" s="9"/>
    </row>
    <row r="441" spans="1:54" x14ac:dyDescent="0.35">
      <c r="A441" s="54"/>
      <c r="B441" s="86"/>
      <c r="C441" s="74"/>
      <c r="D441" s="75"/>
      <c r="E441" s="76"/>
      <c r="F441" s="77"/>
      <c r="G441" s="77"/>
      <c r="H441" s="74"/>
      <c r="I441" s="75"/>
      <c r="J441" s="76"/>
      <c r="K441" s="77"/>
      <c r="L441" s="77"/>
      <c r="M441" s="30"/>
      <c r="N441" s="75"/>
      <c r="O441" s="76"/>
      <c r="P441" s="77"/>
      <c r="Q441" s="77"/>
      <c r="R441" s="30"/>
      <c r="S441" s="75"/>
      <c r="T441" s="76"/>
      <c r="U441" s="77"/>
      <c r="V441" s="77"/>
      <c r="W441" s="30"/>
      <c r="X441" s="75"/>
      <c r="Y441" s="76"/>
      <c r="Z441" s="77"/>
      <c r="AA441" s="77"/>
      <c r="AB441" s="74"/>
      <c r="AC441" s="46"/>
      <c r="AD441" s="75"/>
      <c r="AE441" s="76"/>
      <c r="AF441" s="77"/>
      <c r="AG441" s="77"/>
      <c r="AH441" s="32" t="e">
        <f>[1]Calc!$C$34/[1]Calc!$C$47</f>
        <v>#DIV/0!</v>
      </c>
      <c r="AI441" s="75"/>
      <c r="AJ441" s="76"/>
      <c r="AK441" s="77"/>
      <c r="AL441" s="77"/>
      <c r="AM441" s="32" t="e">
        <f>[1]Calc!$D$34/[1]Calc!$D$47</f>
        <v>#DIV/0!</v>
      </c>
      <c r="AN441" s="75"/>
      <c r="AO441" s="76"/>
      <c r="AP441" s="77"/>
      <c r="AQ441" s="77"/>
      <c r="AR441" s="32" t="e">
        <f>[1]Calc!$E$34/[1]Calc!$E$47</f>
        <v>#DIV/0!</v>
      </c>
      <c r="AS441" s="75"/>
      <c r="AT441" s="76"/>
      <c r="AU441" s="77"/>
      <c r="AV441" s="77"/>
      <c r="AW441" s="30"/>
      <c r="AX441" s="75"/>
      <c r="AY441" s="76"/>
      <c r="AZ441" s="77"/>
      <c r="BA441" s="77"/>
      <c r="BB441" s="9"/>
    </row>
    <row r="442" spans="1:54" x14ac:dyDescent="0.35">
      <c r="A442" s="54"/>
      <c r="B442" s="71" t="s">
        <v>171</v>
      </c>
      <c r="C442" s="74"/>
      <c r="D442" s="75"/>
      <c r="E442" s="76"/>
      <c r="F442" s="77"/>
      <c r="G442" s="77"/>
      <c r="H442" s="74"/>
      <c r="I442" s="75"/>
      <c r="J442" s="76"/>
      <c r="K442" s="77"/>
      <c r="L442" s="77"/>
      <c r="M442" s="30"/>
      <c r="N442" s="75"/>
      <c r="O442" s="76"/>
      <c r="P442" s="77"/>
      <c r="Q442" s="77"/>
      <c r="R442" s="30"/>
      <c r="S442" s="75"/>
      <c r="T442" s="76"/>
      <c r="U442" s="77"/>
      <c r="V442" s="77"/>
      <c r="W442" s="30"/>
      <c r="X442" s="75"/>
      <c r="Y442" s="76"/>
      <c r="Z442" s="77"/>
      <c r="AA442" s="77"/>
      <c r="AB442" s="74"/>
      <c r="AC442" s="46"/>
      <c r="AD442" s="75"/>
      <c r="AE442" s="76"/>
      <c r="AF442" s="77"/>
      <c r="AG442" s="77"/>
      <c r="AH442" s="32" t="e">
        <f>[1]Calc!$C$34/[1]Calc!$C$47</f>
        <v>#DIV/0!</v>
      </c>
      <c r="AI442" s="75"/>
      <c r="AJ442" s="76"/>
      <c r="AK442" s="77"/>
      <c r="AL442" s="77"/>
      <c r="AM442" s="32" t="e">
        <f>[1]Calc!$D$34/[1]Calc!$D$47</f>
        <v>#DIV/0!</v>
      </c>
      <c r="AN442" s="75"/>
      <c r="AO442" s="76"/>
      <c r="AP442" s="77"/>
      <c r="AQ442" s="77"/>
      <c r="AR442" s="32" t="e">
        <f>[1]Calc!$E$34/[1]Calc!$E$47</f>
        <v>#DIV/0!</v>
      </c>
      <c r="AS442" s="75"/>
      <c r="AT442" s="76"/>
      <c r="AU442" s="77"/>
      <c r="AV442" s="77"/>
      <c r="AW442" s="30"/>
      <c r="AX442" s="75"/>
      <c r="AY442" s="76"/>
      <c r="AZ442" s="77"/>
      <c r="BA442" s="77"/>
      <c r="BB442" s="9"/>
    </row>
    <row r="443" spans="1:54" x14ac:dyDescent="0.35">
      <c r="A443" s="54"/>
      <c r="B443" s="73" t="s">
        <v>164</v>
      </c>
      <c r="C443" s="74"/>
      <c r="D443" s="75"/>
      <c r="E443" s="76"/>
      <c r="F443" s="77"/>
      <c r="G443" s="77"/>
      <c r="H443" s="74"/>
      <c r="I443" s="75"/>
      <c r="J443" s="76"/>
      <c r="K443" s="77"/>
      <c r="L443" s="77"/>
      <c r="M443" s="30"/>
      <c r="N443" s="75"/>
      <c r="O443" s="76"/>
      <c r="P443" s="77"/>
      <c r="Q443" s="77"/>
      <c r="R443" s="30"/>
      <c r="S443" s="75"/>
      <c r="T443" s="76"/>
      <c r="U443" s="77"/>
      <c r="V443" s="77"/>
      <c r="W443" s="30"/>
      <c r="X443" s="75"/>
      <c r="Y443" s="76"/>
      <c r="Z443" s="77"/>
      <c r="AA443" s="77"/>
      <c r="AB443" s="74"/>
      <c r="AC443" s="46"/>
      <c r="AD443" s="75"/>
      <c r="AE443" s="76"/>
      <c r="AF443" s="77"/>
      <c r="AG443" s="77"/>
      <c r="AH443" s="32" t="e">
        <f>[1]Calc!$C$34/[1]Calc!$C$47</f>
        <v>#DIV/0!</v>
      </c>
      <c r="AI443" s="75"/>
      <c r="AJ443" s="76"/>
      <c r="AK443" s="77"/>
      <c r="AL443" s="77"/>
      <c r="AM443" s="32" t="e">
        <f>[1]Calc!$D$34/[1]Calc!$D$47</f>
        <v>#DIV/0!</v>
      </c>
      <c r="AN443" s="75"/>
      <c r="AO443" s="76"/>
      <c r="AP443" s="77"/>
      <c r="AQ443" s="77"/>
      <c r="AR443" s="32" t="e">
        <f>[1]Calc!$E$34/[1]Calc!$E$47</f>
        <v>#DIV/0!</v>
      </c>
      <c r="AS443" s="75"/>
      <c r="AT443" s="76"/>
      <c r="AU443" s="77"/>
      <c r="AV443" s="77"/>
      <c r="AW443" s="30"/>
      <c r="AX443" s="75"/>
      <c r="AY443" s="76"/>
      <c r="AZ443" s="77"/>
      <c r="BA443" s="77"/>
      <c r="BB443" s="9"/>
    </row>
    <row r="444" spans="1:54" x14ac:dyDescent="0.35">
      <c r="A444" s="54"/>
      <c r="B444" s="79" t="s">
        <v>172</v>
      </c>
      <c r="C444" s="74" t="s">
        <v>27</v>
      </c>
      <c r="D444" s="75" t="s">
        <v>56</v>
      </c>
      <c r="E444" s="44">
        <v>1.8279275808740985</v>
      </c>
      <c r="F444" s="80">
        <v>38.112254309352593</v>
      </c>
      <c r="G444" s="77">
        <v>69.666440821353319</v>
      </c>
      <c r="H444" s="74"/>
      <c r="I444" s="75" t="s">
        <v>56</v>
      </c>
      <c r="J444" s="76">
        <v>0.18479439329050731</v>
      </c>
      <c r="K444" s="77">
        <v>38.112254309352593</v>
      </c>
      <c r="L444" s="77">
        <v>7.0429309120303349</v>
      </c>
      <c r="M444" s="30"/>
      <c r="N444" s="75" t="s">
        <v>56</v>
      </c>
      <c r="O444" s="76">
        <v>0.70533753094293383</v>
      </c>
      <c r="P444" s="77">
        <v>38.112254309352593</v>
      </c>
      <c r="Q444" s="77">
        <v>26.882003353227947</v>
      </c>
      <c r="R444" s="30"/>
      <c r="S444" s="75" t="s">
        <v>56</v>
      </c>
      <c r="T444" s="76">
        <v>0.93779565664065723</v>
      </c>
      <c r="U444" s="77">
        <v>38.112254309352593</v>
      </c>
      <c r="V444" s="77">
        <v>35.741506556095032</v>
      </c>
      <c r="W444" s="30"/>
      <c r="X444" s="75" t="s">
        <v>56</v>
      </c>
      <c r="Y444" s="76">
        <v>0</v>
      </c>
      <c r="Z444" s="77">
        <v>38.112254309352593</v>
      </c>
      <c r="AA444" s="77">
        <v>0</v>
      </c>
      <c r="AB444" s="74"/>
      <c r="AC444" s="46">
        <f>[1]Calc!$B$34/[1]Calc!$B$47</f>
        <v>2.8050750609368586E-2</v>
      </c>
      <c r="AD444" s="75"/>
      <c r="AE444" s="76"/>
      <c r="AF444" s="77"/>
      <c r="AG444" s="77">
        <f>AC444*0</f>
        <v>0</v>
      </c>
      <c r="AH444" s="32" t="e">
        <f>[1]Calc!$C$34/[1]Calc!$C$47</f>
        <v>#DIV/0!</v>
      </c>
      <c r="AI444" s="75"/>
      <c r="AJ444" s="76"/>
      <c r="AK444" s="77"/>
      <c r="AL444" s="77"/>
      <c r="AM444" s="32" t="e">
        <f>[1]Calc!$D$34/[1]Calc!$D$47</f>
        <v>#DIV/0!</v>
      </c>
      <c r="AN444" s="75"/>
      <c r="AO444" s="76"/>
      <c r="AP444" s="77"/>
      <c r="AQ444" s="77"/>
      <c r="AR444" s="32" t="e">
        <f>[1]Calc!$E$34/[1]Calc!$E$47</f>
        <v>#DIV/0!</v>
      </c>
      <c r="AS444" s="75"/>
      <c r="AT444" s="76"/>
      <c r="AU444" s="77"/>
      <c r="AV444" s="77"/>
      <c r="AW444" s="30"/>
      <c r="AX444" s="75"/>
      <c r="AY444" s="44"/>
      <c r="AZ444" s="80"/>
      <c r="BA444" s="77">
        <f>AG444+AL444+AQ444+AV444</f>
        <v>0</v>
      </c>
      <c r="BB444" s="9"/>
    </row>
    <row r="445" spans="1:54" x14ac:dyDescent="0.35">
      <c r="A445" s="54"/>
      <c r="B445" s="79" t="s">
        <v>173</v>
      </c>
      <c r="C445" s="74" t="s">
        <v>27</v>
      </c>
      <c r="D445" s="75" t="s">
        <v>58</v>
      </c>
      <c r="E445" s="44">
        <v>1.4623420646992789</v>
      </c>
      <c r="F445" s="80">
        <v>76</v>
      </c>
      <c r="G445" s="77">
        <v>111.13799691714519</v>
      </c>
      <c r="H445" s="74"/>
      <c r="I445" s="75" t="s">
        <v>58</v>
      </c>
      <c r="J445" s="76">
        <v>0.14783551463240585</v>
      </c>
      <c r="K445" s="77">
        <v>76</v>
      </c>
      <c r="L445" s="77">
        <v>11.235499112062845</v>
      </c>
      <c r="M445" s="30"/>
      <c r="N445" s="75" t="s">
        <v>58</v>
      </c>
      <c r="O445" s="76">
        <v>0.56427002475434718</v>
      </c>
      <c r="P445" s="77">
        <v>76</v>
      </c>
      <c r="Q445" s="77">
        <v>42.884521881330386</v>
      </c>
      <c r="R445" s="30"/>
      <c r="S445" s="75" t="s">
        <v>58</v>
      </c>
      <c r="T445" s="76">
        <v>0.75023652531252583</v>
      </c>
      <c r="U445" s="77">
        <v>76</v>
      </c>
      <c r="V445" s="77">
        <v>57.017975923751962</v>
      </c>
      <c r="W445" s="30"/>
      <c r="X445" s="75" t="s">
        <v>58</v>
      </c>
      <c r="Y445" s="76">
        <v>0</v>
      </c>
      <c r="Z445" s="77">
        <v>76</v>
      </c>
      <c r="AA445" s="77">
        <v>0</v>
      </c>
      <c r="AB445" s="74"/>
      <c r="AC445" s="46">
        <f>[1]Calc!$B$34/[1]Calc!$B$47</f>
        <v>2.8050750609368586E-2</v>
      </c>
      <c r="AD445" s="75"/>
      <c r="AE445" s="76"/>
      <c r="AF445" s="77"/>
      <c r="AG445" s="77">
        <f>AC445*0</f>
        <v>0</v>
      </c>
      <c r="AH445" s="32" t="e">
        <f>[1]Calc!$C$34/[1]Calc!$C$47</f>
        <v>#DIV/0!</v>
      </c>
      <c r="AI445" s="75"/>
      <c r="AJ445" s="76"/>
      <c r="AK445" s="77"/>
      <c r="AL445" s="77"/>
      <c r="AM445" s="32" t="e">
        <f>[1]Calc!$D$34/[1]Calc!$D$47</f>
        <v>#DIV/0!</v>
      </c>
      <c r="AN445" s="75"/>
      <c r="AO445" s="76"/>
      <c r="AP445" s="77"/>
      <c r="AQ445" s="77"/>
      <c r="AR445" s="32" t="e">
        <f>[1]Calc!$E$34/[1]Calc!$E$47</f>
        <v>#DIV/0!</v>
      </c>
      <c r="AS445" s="75"/>
      <c r="AT445" s="76"/>
      <c r="AU445" s="77"/>
      <c r="AV445" s="77"/>
      <c r="AW445" s="30"/>
      <c r="AX445" s="75"/>
      <c r="AY445" s="44"/>
      <c r="AZ445" s="80"/>
      <c r="BA445" s="77">
        <f>AG445+AL445+AQ445+AV445</f>
        <v>0</v>
      </c>
      <c r="BB445" s="9"/>
    </row>
    <row r="446" spans="1:54" x14ac:dyDescent="0.35">
      <c r="A446" s="54"/>
      <c r="B446" s="73" t="s">
        <v>166</v>
      </c>
      <c r="C446" s="74"/>
      <c r="D446" s="75"/>
      <c r="E446" s="76"/>
      <c r="F446" s="77"/>
      <c r="G446" s="77"/>
      <c r="H446" s="74"/>
      <c r="I446" s="75"/>
      <c r="J446" s="76"/>
      <c r="K446" s="77"/>
      <c r="L446" s="77"/>
      <c r="M446" s="30"/>
      <c r="N446" s="75"/>
      <c r="O446" s="76"/>
      <c r="P446" s="77"/>
      <c r="Q446" s="77"/>
      <c r="R446" s="30"/>
      <c r="S446" s="75"/>
      <c r="T446" s="76"/>
      <c r="U446" s="77"/>
      <c r="V446" s="77"/>
      <c r="W446" s="30"/>
      <c r="X446" s="75"/>
      <c r="Y446" s="76"/>
      <c r="Z446" s="77"/>
      <c r="AA446" s="77"/>
      <c r="AB446" s="74"/>
      <c r="AC446" s="46"/>
      <c r="AD446" s="75"/>
      <c r="AE446" s="76"/>
      <c r="AF446" s="77"/>
      <c r="AG446" s="77"/>
      <c r="AH446" s="32" t="e">
        <f>[1]Calc!$C$34/[1]Calc!$C$47</f>
        <v>#DIV/0!</v>
      </c>
      <c r="AI446" s="75"/>
      <c r="AJ446" s="76"/>
      <c r="AK446" s="77"/>
      <c r="AL446" s="77"/>
      <c r="AM446" s="32" t="e">
        <f>[1]Calc!$D$34/[1]Calc!$D$47</f>
        <v>#DIV/0!</v>
      </c>
      <c r="AN446" s="75"/>
      <c r="AO446" s="76"/>
      <c r="AP446" s="77"/>
      <c r="AQ446" s="77"/>
      <c r="AR446" s="32" t="e">
        <f>[1]Calc!$E$34/[1]Calc!$E$47</f>
        <v>#DIV/0!</v>
      </c>
      <c r="AS446" s="75"/>
      <c r="AT446" s="76"/>
      <c r="AU446" s="77"/>
      <c r="AV446" s="77"/>
      <c r="AW446" s="30"/>
      <c r="AX446" s="75"/>
      <c r="AY446" s="76"/>
      <c r="AZ446" s="77"/>
      <c r="BA446" s="77"/>
      <c r="BB446" s="9"/>
    </row>
    <row r="447" spans="1:54" x14ac:dyDescent="0.35">
      <c r="A447" s="54"/>
      <c r="B447" s="79" t="s">
        <v>174</v>
      </c>
      <c r="C447" s="74" t="s">
        <v>27</v>
      </c>
      <c r="D447" s="75" t="s">
        <v>56</v>
      </c>
      <c r="E447" s="44">
        <v>1.218618387249399</v>
      </c>
      <c r="F447" s="80">
        <v>39.999999999999993</v>
      </c>
      <c r="G447" s="77">
        <v>48.744735489975952</v>
      </c>
      <c r="H447" s="74"/>
      <c r="I447" s="75" t="s">
        <v>56</v>
      </c>
      <c r="J447" s="76">
        <v>0.12319626219367155</v>
      </c>
      <c r="K447" s="77">
        <v>40</v>
      </c>
      <c r="L447" s="77">
        <v>4.9278504877468619</v>
      </c>
      <c r="M447" s="30"/>
      <c r="N447" s="75" t="s">
        <v>56</v>
      </c>
      <c r="O447" s="76">
        <v>0.47022502062862259</v>
      </c>
      <c r="P447" s="77">
        <v>40</v>
      </c>
      <c r="Q447" s="77">
        <v>18.809000825144903</v>
      </c>
      <c r="R447" s="30"/>
      <c r="S447" s="75" t="s">
        <v>56</v>
      </c>
      <c r="T447" s="76">
        <v>0.62519710442710474</v>
      </c>
      <c r="U447" s="77">
        <v>40</v>
      </c>
      <c r="V447" s="77">
        <v>25.00788417708419</v>
      </c>
      <c r="W447" s="30"/>
      <c r="X447" s="75" t="s">
        <v>56</v>
      </c>
      <c r="Y447" s="76">
        <v>0</v>
      </c>
      <c r="Z447" s="77">
        <v>40</v>
      </c>
      <c r="AA447" s="77">
        <v>0</v>
      </c>
      <c r="AB447" s="74"/>
      <c r="AC447" s="46">
        <f>[1]Calc!$B$34/[1]Calc!$B$47</f>
        <v>2.8050750609368586E-2</v>
      </c>
      <c r="AD447" s="75"/>
      <c r="AE447" s="76"/>
      <c r="AF447" s="77"/>
      <c r="AG447" s="77">
        <f>AC447*0</f>
        <v>0</v>
      </c>
      <c r="AH447" s="32" t="e">
        <f>[1]Calc!$C$34/[1]Calc!$C$47</f>
        <v>#DIV/0!</v>
      </c>
      <c r="AI447" s="75"/>
      <c r="AJ447" s="76"/>
      <c r="AK447" s="77"/>
      <c r="AL447" s="77"/>
      <c r="AM447" s="32" t="e">
        <f>[1]Calc!$D$34/[1]Calc!$D$47</f>
        <v>#DIV/0!</v>
      </c>
      <c r="AN447" s="75"/>
      <c r="AO447" s="76"/>
      <c r="AP447" s="77"/>
      <c r="AQ447" s="77"/>
      <c r="AR447" s="32" t="e">
        <f>[1]Calc!$E$34/[1]Calc!$E$47</f>
        <v>#DIV/0!</v>
      </c>
      <c r="AS447" s="75"/>
      <c r="AT447" s="76"/>
      <c r="AU447" s="77"/>
      <c r="AV447" s="77"/>
      <c r="AW447" s="30"/>
      <c r="AX447" s="75"/>
      <c r="AY447" s="44"/>
      <c r="AZ447" s="80"/>
      <c r="BA447" s="77">
        <f>AG447+AL447+AQ447+AV447</f>
        <v>0</v>
      </c>
      <c r="BB447" s="9"/>
    </row>
    <row r="448" spans="1:54" x14ac:dyDescent="0.35">
      <c r="A448" s="54"/>
      <c r="B448" s="79" t="s">
        <v>175</v>
      </c>
      <c r="C448" s="74" t="s">
        <v>27</v>
      </c>
      <c r="D448" s="75" t="s">
        <v>58</v>
      </c>
      <c r="E448" s="44">
        <v>1.096756548524459</v>
      </c>
      <c r="F448" s="80">
        <v>70.000000000000014</v>
      </c>
      <c r="G448" s="77">
        <v>76.772958396712141</v>
      </c>
      <c r="H448" s="74"/>
      <c r="I448" s="75" t="s">
        <v>58</v>
      </c>
      <c r="J448" s="76">
        <v>0.1108766359743044</v>
      </c>
      <c r="K448" s="77">
        <v>70</v>
      </c>
      <c r="L448" s="77">
        <v>7.761364518201308</v>
      </c>
      <c r="M448" s="30"/>
      <c r="N448" s="75" t="s">
        <v>58</v>
      </c>
      <c r="O448" s="76">
        <v>0.42320251856576035</v>
      </c>
      <c r="P448" s="77">
        <v>70</v>
      </c>
      <c r="Q448" s="77">
        <v>29.624176299603224</v>
      </c>
      <c r="R448" s="30"/>
      <c r="S448" s="75" t="s">
        <v>58</v>
      </c>
      <c r="T448" s="76">
        <v>0.56267739398439431</v>
      </c>
      <c r="U448" s="77">
        <v>70</v>
      </c>
      <c r="V448" s="77">
        <v>39.387417578907602</v>
      </c>
      <c r="W448" s="30"/>
      <c r="X448" s="75" t="s">
        <v>58</v>
      </c>
      <c r="Y448" s="76">
        <v>0</v>
      </c>
      <c r="Z448" s="77">
        <v>70</v>
      </c>
      <c r="AA448" s="77">
        <v>0</v>
      </c>
      <c r="AB448" s="74"/>
      <c r="AC448" s="46">
        <f>[1]Calc!$B$34/[1]Calc!$B$47</f>
        <v>2.8050750609368586E-2</v>
      </c>
      <c r="AD448" s="75"/>
      <c r="AE448" s="76"/>
      <c r="AF448" s="77"/>
      <c r="AG448" s="77">
        <f>AC448*0</f>
        <v>0</v>
      </c>
      <c r="AH448" s="32" t="e">
        <f>[1]Calc!$C$34/[1]Calc!$C$47</f>
        <v>#DIV/0!</v>
      </c>
      <c r="AI448" s="75"/>
      <c r="AJ448" s="76"/>
      <c r="AK448" s="77"/>
      <c r="AL448" s="77"/>
      <c r="AM448" s="32" t="e">
        <f>[1]Calc!$D$34/[1]Calc!$D$47</f>
        <v>#DIV/0!</v>
      </c>
      <c r="AN448" s="75"/>
      <c r="AO448" s="76"/>
      <c r="AP448" s="77"/>
      <c r="AQ448" s="77"/>
      <c r="AR448" s="32" t="e">
        <f>[1]Calc!$E$34/[1]Calc!$E$47</f>
        <v>#DIV/0!</v>
      </c>
      <c r="AS448" s="75"/>
      <c r="AT448" s="76"/>
      <c r="AU448" s="77"/>
      <c r="AV448" s="77"/>
      <c r="AW448" s="30"/>
      <c r="AX448" s="75"/>
      <c r="AY448" s="44"/>
      <c r="AZ448" s="80"/>
      <c r="BA448" s="77">
        <f>AG448+AL448+AQ448+AV448</f>
        <v>0</v>
      </c>
      <c r="BB448" s="9"/>
    </row>
    <row r="449" spans="1:54" x14ac:dyDescent="0.35">
      <c r="A449" s="54"/>
      <c r="B449" s="92"/>
      <c r="C449" s="74"/>
      <c r="D449" s="75"/>
      <c r="E449" s="76"/>
      <c r="F449" s="77"/>
      <c r="G449" s="77"/>
      <c r="H449" s="74"/>
      <c r="I449" s="75"/>
      <c r="J449" s="76"/>
      <c r="K449" s="77"/>
      <c r="L449" s="77"/>
      <c r="M449" s="30"/>
      <c r="N449" s="75"/>
      <c r="O449" s="76"/>
      <c r="P449" s="77"/>
      <c r="Q449" s="77"/>
      <c r="R449" s="30"/>
      <c r="S449" s="75"/>
      <c r="T449" s="76"/>
      <c r="U449" s="77"/>
      <c r="V449" s="77"/>
      <c r="W449" s="30"/>
      <c r="X449" s="75"/>
      <c r="Y449" s="76"/>
      <c r="Z449" s="77"/>
      <c r="AA449" s="77"/>
      <c r="AB449" s="74"/>
      <c r="AC449" s="46"/>
      <c r="AD449" s="75"/>
      <c r="AE449" s="76"/>
      <c r="AF449" s="77"/>
      <c r="AG449" s="77"/>
      <c r="AH449" s="32" t="e">
        <f>[1]Calc!$C$34/[1]Calc!$C$47</f>
        <v>#DIV/0!</v>
      </c>
      <c r="AI449" s="75"/>
      <c r="AJ449" s="76"/>
      <c r="AK449" s="77"/>
      <c r="AL449" s="77"/>
      <c r="AM449" s="32" t="e">
        <f>[1]Calc!$D$34/[1]Calc!$D$47</f>
        <v>#DIV/0!</v>
      </c>
      <c r="AN449" s="75"/>
      <c r="AO449" s="76"/>
      <c r="AP449" s="77"/>
      <c r="AQ449" s="77"/>
      <c r="AR449" s="32" t="e">
        <f>[1]Calc!$E$34/[1]Calc!$E$47</f>
        <v>#DIV/0!</v>
      </c>
      <c r="AS449" s="75"/>
      <c r="AT449" s="76"/>
      <c r="AU449" s="77"/>
      <c r="AV449" s="77"/>
      <c r="AW449" s="30"/>
      <c r="AX449" s="75"/>
      <c r="AY449" s="76"/>
      <c r="AZ449" s="77"/>
      <c r="BA449" s="77"/>
      <c r="BB449" s="9"/>
    </row>
    <row r="450" spans="1:54" x14ac:dyDescent="0.35">
      <c r="A450" s="54"/>
      <c r="B450" s="71" t="s">
        <v>176</v>
      </c>
      <c r="C450" s="74"/>
      <c r="D450" s="75"/>
      <c r="E450" s="76"/>
      <c r="F450" s="77"/>
      <c r="G450" s="77"/>
      <c r="H450" s="74"/>
      <c r="I450" s="75"/>
      <c r="J450" s="76"/>
      <c r="K450" s="77"/>
      <c r="L450" s="77"/>
      <c r="M450" s="30"/>
      <c r="N450" s="75"/>
      <c r="O450" s="76"/>
      <c r="P450" s="77"/>
      <c r="Q450" s="77"/>
      <c r="R450" s="30"/>
      <c r="S450" s="75"/>
      <c r="T450" s="76"/>
      <c r="U450" s="77"/>
      <c r="V450" s="77"/>
      <c r="W450" s="30"/>
      <c r="X450" s="75"/>
      <c r="Y450" s="76"/>
      <c r="Z450" s="77"/>
      <c r="AA450" s="77"/>
      <c r="AB450" s="74"/>
      <c r="AC450" s="46"/>
      <c r="AD450" s="75"/>
      <c r="AE450" s="76"/>
      <c r="AF450" s="77"/>
      <c r="AG450" s="77"/>
      <c r="AH450" s="32" t="e">
        <f>[1]Calc!$C$34/[1]Calc!$C$47</f>
        <v>#DIV/0!</v>
      </c>
      <c r="AI450" s="75"/>
      <c r="AJ450" s="76"/>
      <c r="AK450" s="77"/>
      <c r="AL450" s="77"/>
      <c r="AM450" s="32" t="e">
        <f>[1]Calc!$D$34/[1]Calc!$D$47</f>
        <v>#DIV/0!</v>
      </c>
      <c r="AN450" s="75"/>
      <c r="AO450" s="76"/>
      <c r="AP450" s="77"/>
      <c r="AQ450" s="77"/>
      <c r="AR450" s="32" t="e">
        <f>[1]Calc!$E$34/[1]Calc!$E$47</f>
        <v>#DIV/0!</v>
      </c>
      <c r="AS450" s="75"/>
      <c r="AT450" s="76"/>
      <c r="AU450" s="77"/>
      <c r="AV450" s="77"/>
      <c r="AW450" s="30"/>
      <c r="AX450" s="75"/>
      <c r="AY450" s="76"/>
      <c r="AZ450" s="77"/>
      <c r="BA450" s="77"/>
      <c r="BB450" s="9"/>
    </row>
    <row r="451" spans="1:54" x14ac:dyDescent="0.35">
      <c r="A451" s="54"/>
      <c r="B451" s="73" t="s">
        <v>177</v>
      </c>
      <c r="C451" s="74"/>
      <c r="D451" s="75"/>
      <c r="E451" s="76"/>
      <c r="F451" s="77"/>
      <c r="G451" s="77"/>
      <c r="H451" s="74"/>
      <c r="I451" s="75"/>
      <c r="J451" s="76"/>
      <c r="K451" s="77"/>
      <c r="L451" s="77"/>
      <c r="M451" s="30"/>
      <c r="N451" s="75"/>
      <c r="O451" s="76"/>
      <c r="P451" s="77"/>
      <c r="Q451" s="77"/>
      <c r="R451" s="30"/>
      <c r="S451" s="75"/>
      <c r="T451" s="76"/>
      <c r="U451" s="77"/>
      <c r="V451" s="77"/>
      <c r="W451" s="30"/>
      <c r="X451" s="75"/>
      <c r="Y451" s="76"/>
      <c r="Z451" s="77"/>
      <c r="AA451" s="77"/>
      <c r="AB451" s="74"/>
      <c r="AC451" s="46"/>
      <c r="AD451" s="75"/>
      <c r="AE451" s="76"/>
      <c r="AF451" s="77"/>
      <c r="AG451" s="77"/>
      <c r="AH451" s="32" t="e">
        <f>[1]Calc!$C$34/[1]Calc!$C$47</f>
        <v>#DIV/0!</v>
      </c>
      <c r="AI451" s="75"/>
      <c r="AJ451" s="76"/>
      <c r="AK451" s="77"/>
      <c r="AL451" s="77"/>
      <c r="AM451" s="32" t="e">
        <f>[1]Calc!$D$34/[1]Calc!$D$47</f>
        <v>#DIV/0!</v>
      </c>
      <c r="AN451" s="75"/>
      <c r="AO451" s="76"/>
      <c r="AP451" s="77"/>
      <c r="AQ451" s="77"/>
      <c r="AR451" s="32" t="e">
        <f>[1]Calc!$E$34/[1]Calc!$E$47</f>
        <v>#DIV/0!</v>
      </c>
      <c r="AS451" s="75"/>
      <c r="AT451" s="76"/>
      <c r="AU451" s="77"/>
      <c r="AV451" s="77"/>
      <c r="AW451" s="30"/>
      <c r="AX451" s="75"/>
      <c r="AY451" s="76"/>
      <c r="AZ451" s="77"/>
      <c r="BA451" s="77"/>
      <c r="BB451" s="9"/>
    </row>
    <row r="452" spans="1:54" x14ac:dyDescent="0.35">
      <c r="A452" s="54"/>
      <c r="B452" s="79" t="s">
        <v>178</v>
      </c>
      <c r="C452" s="74" t="s">
        <v>27</v>
      </c>
      <c r="D452" s="75" t="s">
        <v>56</v>
      </c>
      <c r="E452" s="44">
        <v>7.3117103234963938</v>
      </c>
      <c r="F452" s="80">
        <v>19</v>
      </c>
      <c r="G452" s="77">
        <v>138.92249614643148</v>
      </c>
      <c r="H452" s="74"/>
      <c r="I452" s="75" t="s">
        <v>56</v>
      </c>
      <c r="J452" s="76">
        <v>0.73917757316202926</v>
      </c>
      <c r="K452" s="77">
        <v>19</v>
      </c>
      <c r="L452" s="77">
        <v>14.044373890078555</v>
      </c>
      <c r="M452" s="30"/>
      <c r="N452" s="75" t="s">
        <v>56</v>
      </c>
      <c r="O452" s="76">
        <v>2.8213501237717353</v>
      </c>
      <c r="P452" s="77">
        <v>19</v>
      </c>
      <c r="Q452" s="77">
        <v>53.605652351662968</v>
      </c>
      <c r="R452" s="30"/>
      <c r="S452" s="75" t="s">
        <v>56</v>
      </c>
      <c r="T452" s="76">
        <v>3.7511826265626289</v>
      </c>
      <c r="U452" s="77">
        <v>19</v>
      </c>
      <c r="V452" s="77">
        <v>71.272469904689956</v>
      </c>
      <c r="W452" s="30"/>
      <c r="X452" s="75" t="s">
        <v>56</v>
      </c>
      <c r="Y452" s="76">
        <v>0</v>
      </c>
      <c r="Z452" s="77">
        <v>19</v>
      </c>
      <c r="AA452" s="77">
        <v>0</v>
      </c>
      <c r="AB452" s="74"/>
      <c r="AC452" s="46">
        <f>[1]Calc!$B$34/[1]Calc!$B$47</f>
        <v>2.8050750609368586E-2</v>
      </c>
      <c r="AD452" s="75"/>
      <c r="AE452" s="76"/>
      <c r="AF452" s="77"/>
      <c r="AG452" s="77">
        <f>AC452*3582.859</f>
        <v>100.50188427753172</v>
      </c>
      <c r="AH452" s="32" t="e">
        <f>[1]Calc!$C$34/[1]Calc!$C$47</f>
        <v>#DIV/0!</v>
      </c>
      <c r="AI452" s="75"/>
      <c r="AJ452" s="76"/>
      <c r="AK452" s="77"/>
      <c r="AL452" s="77"/>
      <c r="AM452" s="32" t="e">
        <f>[1]Calc!$D$34/[1]Calc!$D$47</f>
        <v>#DIV/0!</v>
      </c>
      <c r="AN452" s="75"/>
      <c r="AO452" s="76"/>
      <c r="AP452" s="77"/>
      <c r="AQ452" s="77"/>
      <c r="AR452" s="32" t="e">
        <f>[1]Calc!$E$34/[1]Calc!$E$47</f>
        <v>#DIV/0!</v>
      </c>
      <c r="AS452" s="75"/>
      <c r="AT452" s="76"/>
      <c r="AU452" s="77"/>
      <c r="AV452" s="77"/>
      <c r="AW452" s="30"/>
      <c r="AX452" s="75"/>
      <c r="AY452" s="44"/>
      <c r="AZ452" s="80"/>
      <c r="BA452" s="77">
        <f>AG452+AL452+AQ452+AV452</f>
        <v>100.50188427753172</v>
      </c>
      <c r="BB452" s="9"/>
    </row>
    <row r="453" spans="1:54" x14ac:dyDescent="0.35">
      <c r="A453" s="54"/>
      <c r="B453" s="79" t="s">
        <v>179</v>
      </c>
      <c r="C453" s="74" t="s">
        <v>27</v>
      </c>
      <c r="D453" s="75" t="s">
        <v>58</v>
      </c>
      <c r="E453" s="44">
        <v>4.8744735489975959</v>
      </c>
      <c r="F453" s="80">
        <v>30</v>
      </c>
      <c r="G453" s="77">
        <v>146.23420646992787</v>
      </c>
      <c r="H453" s="74"/>
      <c r="I453" s="75" t="s">
        <v>58</v>
      </c>
      <c r="J453" s="76">
        <v>0.49278504877468621</v>
      </c>
      <c r="K453" s="77">
        <v>30</v>
      </c>
      <c r="L453" s="77">
        <v>14.783551463240586</v>
      </c>
      <c r="M453" s="30"/>
      <c r="N453" s="75" t="s">
        <v>58</v>
      </c>
      <c r="O453" s="76">
        <v>1.8809000825144904</v>
      </c>
      <c r="P453" s="77">
        <v>30</v>
      </c>
      <c r="Q453" s="77">
        <v>56.427002475434712</v>
      </c>
      <c r="R453" s="30"/>
      <c r="S453" s="75" t="s">
        <v>58</v>
      </c>
      <c r="T453" s="76">
        <v>2.500788417708419</v>
      </c>
      <c r="U453" s="77">
        <v>30</v>
      </c>
      <c r="V453" s="77">
        <v>75.023652531252566</v>
      </c>
      <c r="W453" s="30"/>
      <c r="X453" s="75" t="s">
        <v>58</v>
      </c>
      <c r="Y453" s="76">
        <v>0</v>
      </c>
      <c r="Z453" s="77">
        <v>30</v>
      </c>
      <c r="AA453" s="77">
        <v>0</v>
      </c>
      <c r="AB453" s="74"/>
      <c r="AC453" s="46">
        <f>[1]Calc!$B$34/[1]Calc!$B$47</f>
        <v>2.8050750609368586E-2</v>
      </c>
      <c r="AD453" s="75"/>
      <c r="AE453" s="76"/>
      <c r="AF453" s="77"/>
      <c r="AG453" s="77">
        <f>AC453*1932.786</f>
        <v>54.216098067279077</v>
      </c>
      <c r="AH453" s="32" t="e">
        <f>[1]Calc!$C$34/[1]Calc!$C$47</f>
        <v>#DIV/0!</v>
      </c>
      <c r="AI453" s="75"/>
      <c r="AJ453" s="76"/>
      <c r="AK453" s="77"/>
      <c r="AL453" s="77"/>
      <c r="AM453" s="32" t="e">
        <f>[1]Calc!$D$34/[1]Calc!$D$47</f>
        <v>#DIV/0!</v>
      </c>
      <c r="AN453" s="75"/>
      <c r="AO453" s="76"/>
      <c r="AP453" s="77"/>
      <c r="AQ453" s="77"/>
      <c r="AR453" s="32" t="e">
        <f>[1]Calc!$E$34/[1]Calc!$E$47</f>
        <v>#DIV/0!</v>
      </c>
      <c r="AS453" s="75"/>
      <c r="AT453" s="76"/>
      <c r="AU453" s="77"/>
      <c r="AV453" s="77"/>
      <c r="AW453" s="30"/>
      <c r="AX453" s="75"/>
      <c r="AY453" s="44"/>
      <c r="AZ453" s="80"/>
      <c r="BA453" s="77">
        <f>AG453+AL453+AQ453+AV453</f>
        <v>54.216098067279077</v>
      </c>
      <c r="BB453" s="9"/>
    </row>
    <row r="454" spans="1:54" x14ac:dyDescent="0.35">
      <c r="A454" s="54"/>
      <c r="B454" s="73" t="s">
        <v>180</v>
      </c>
      <c r="C454" s="74"/>
      <c r="D454" s="75"/>
      <c r="E454" s="76"/>
      <c r="F454" s="77"/>
      <c r="G454" s="77"/>
      <c r="H454" s="74"/>
      <c r="I454" s="75"/>
      <c r="J454" s="76"/>
      <c r="K454" s="77"/>
      <c r="L454" s="77"/>
      <c r="M454" s="30"/>
      <c r="N454" s="75"/>
      <c r="O454" s="76"/>
      <c r="P454" s="77"/>
      <c r="Q454" s="77"/>
      <c r="R454" s="30"/>
      <c r="S454" s="75"/>
      <c r="T454" s="76"/>
      <c r="U454" s="77"/>
      <c r="V454" s="77"/>
      <c r="W454" s="30"/>
      <c r="X454" s="75"/>
      <c r="Y454" s="76"/>
      <c r="Z454" s="77"/>
      <c r="AA454" s="77"/>
      <c r="AB454" s="74"/>
      <c r="AC454" s="46"/>
      <c r="AD454" s="75"/>
      <c r="AE454" s="76"/>
      <c r="AF454" s="77"/>
      <c r="AG454" s="77"/>
      <c r="AH454" s="32" t="e">
        <f>[1]Calc!$C$34/[1]Calc!$C$47</f>
        <v>#DIV/0!</v>
      </c>
      <c r="AI454" s="75"/>
      <c r="AJ454" s="76"/>
      <c r="AK454" s="77"/>
      <c r="AL454" s="77"/>
      <c r="AM454" s="32" t="e">
        <f>[1]Calc!$D$34/[1]Calc!$D$47</f>
        <v>#DIV/0!</v>
      </c>
      <c r="AN454" s="75"/>
      <c r="AO454" s="76"/>
      <c r="AP454" s="77"/>
      <c r="AQ454" s="77"/>
      <c r="AR454" s="32" t="e">
        <f>[1]Calc!$E$34/[1]Calc!$E$47</f>
        <v>#DIV/0!</v>
      </c>
      <c r="AS454" s="75"/>
      <c r="AT454" s="76"/>
      <c r="AU454" s="77"/>
      <c r="AV454" s="77"/>
      <c r="AW454" s="30"/>
      <c r="AX454" s="75"/>
      <c r="AY454" s="76"/>
      <c r="AZ454" s="77"/>
      <c r="BA454" s="77"/>
      <c r="BB454" s="9"/>
    </row>
    <row r="455" spans="1:54" x14ac:dyDescent="0.35">
      <c r="A455" s="54"/>
      <c r="B455" s="92" t="s">
        <v>181</v>
      </c>
      <c r="C455" s="74" t="s">
        <v>27</v>
      </c>
      <c r="D455" s="75" t="s">
        <v>56</v>
      </c>
      <c r="E455" s="44">
        <v>16.085762711692066</v>
      </c>
      <c r="F455" s="80">
        <v>19</v>
      </c>
      <c r="G455" s="77">
        <v>305.62949152214924</v>
      </c>
      <c r="H455" s="74"/>
      <c r="I455" s="75" t="s">
        <v>56</v>
      </c>
      <c r="J455" s="76">
        <v>1.6261906609564645</v>
      </c>
      <c r="K455" s="77">
        <v>19</v>
      </c>
      <c r="L455" s="77">
        <v>30.897622558172824</v>
      </c>
      <c r="M455" s="30"/>
      <c r="N455" s="75" t="s">
        <v>56</v>
      </c>
      <c r="O455" s="76">
        <v>6.2069702722978182</v>
      </c>
      <c r="P455" s="77">
        <v>19</v>
      </c>
      <c r="Q455" s="77">
        <v>117.93243517365855</v>
      </c>
      <c r="R455" s="30"/>
      <c r="S455" s="75" t="s">
        <v>56</v>
      </c>
      <c r="T455" s="76">
        <v>8.2526017784377839</v>
      </c>
      <c r="U455" s="77">
        <v>19</v>
      </c>
      <c r="V455" s="77">
        <v>156.79943379031789</v>
      </c>
      <c r="W455" s="30"/>
      <c r="X455" s="75" t="s">
        <v>56</v>
      </c>
      <c r="Y455" s="76">
        <v>0</v>
      </c>
      <c r="Z455" s="77">
        <v>19</v>
      </c>
      <c r="AA455" s="77">
        <v>0</v>
      </c>
      <c r="AB455" s="74"/>
      <c r="AC455" s="46">
        <f>[1]Calc!$B$34/[1]Calc!$B$47</f>
        <v>2.8050750609368586E-2</v>
      </c>
      <c r="AD455" s="75"/>
      <c r="AE455" s="76"/>
      <c r="AF455" s="77"/>
      <c r="AG455" s="77">
        <f>AC455*1150.982</f>
        <v>32.285909037872273</v>
      </c>
      <c r="AH455" s="32" t="e">
        <f>[1]Calc!$C$34/[1]Calc!$C$47</f>
        <v>#DIV/0!</v>
      </c>
      <c r="AI455" s="75"/>
      <c r="AJ455" s="76"/>
      <c r="AK455" s="77"/>
      <c r="AL455" s="77"/>
      <c r="AM455" s="32" t="e">
        <f>[1]Calc!$D$34/[1]Calc!$D$47</f>
        <v>#DIV/0!</v>
      </c>
      <c r="AN455" s="75"/>
      <c r="AO455" s="76"/>
      <c r="AP455" s="77"/>
      <c r="AQ455" s="77"/>
      <c r="AR455" s="32" t="e">
        <f>[1]Calc!$E$34/[1]Calc!$E$47</f>
        <v>#DIV/0!</v>
      </c>
      <c r="AS455" s="75"/>
      <c r="AT455" s="76"/>
      <c r="AU455" s="77"/>
      <c r="AV455" s="77"/>
      <c r="AW455" s="30"/>
      <c r="AX455" s="75"/>
      <c r="AY455" s="44"/>
      <c r="AZ455" s="80"/>
      <c r="BA455" s="77">
        <f>AG455+AL455+AQ455+AV455</f>
        <v>32.285909037872273</v>
      </c>
      <c r="BB455" s="9"/>
    </row>
    <row r="456" spans="1:54" x14ac:dyDescent="0.35">
      <c r="A456" s="54"/>
      <c r="B456" s="92" t="s">
        <v>182</v>
      </c>
      <c r="C456" s="74" t="s">
        <v>27</v>
      </c>
      <c r="D456" s="75" t="s">
        <v>58</v>
      </c>
      <c r="E456" s="44">
        <v>10.72384180779471</v>
      </c>
      <c r="F456" s="80">
        <v>30</v>
      </c>
      <c r="G456" s="77">
        <v>321.71525423384128</v>
      </c>
      <c r="H456" s="74"/>
      <c r="I456" s="75" t="s">
        <v>58</v>
      </c>
      <c r="J456" s="76">
        <v>1.0841271073043095</v>
      </c>
      <c r="K456" s="77">
        <v>30</v>
      </c>
      <c r="L456" s="77">
        <v>32.523813219129288</v>
      </c>
      <c r="M456" s="30"/>
      <c r="N456" s="75" t="s">
        <v>58</v>
      </c>
      <c r="O456" s="76">
        <v>4.1379801815318791</v>
      </c>
      <c r="P456" s="77">
        <v>30</v>
      </c>
      <c r="Q456" s="77">
        <v>124.13940544595637</v>
      </c>
      <c r="R456" s="30"/>
      <c r="S456" s="75" t="s">
        <v>58</v>
      </c>
      <c r="T456" s="76">
        <v>5.5017345189585223</v>
      </c>
      <c r="U456" s="77">
        <v>30</v>
      </c>
      <c r="V456" s="77">
        <v>165.05203556875566</v>
      </c>
      <c r="W456" s="30"/>
      <c r="X456" s="75" t="s">
        <v>58</v>
      </c>
      <c r="Y456" s="76">
        <v>0</v>
      </c>
      <c r="Z456" s="77">
        <v>30</v>
      </c>
      <c r="AA456" s="77">
        <v>0</v>
      </c>
      <c r="AB456" s="74"/>
      <c r="AC456" s="46">
        <f>[1]Calc!$B$34/[1]Calc!$B$47</f>
        <v>2.8050750609368586E-2</v>
      </c>
      <c r="AD456" s="75"/>
      <c r="AE456" s="76"/>
      <c r="AF456" s="77"/>
      <c r="AG456" s="77">
        <f>AC456*1607.584</f>
        <v>45.093937867611189</v>
      </c>
      <c r="AH456" s="32" t="e">
        <f>[1]Calc!$C$34/[1]Calc!$C$47</f>
        <v>#DIV/0!</v>
      </c>
      <c r="AI456" s="75"/>
      <c r="AJ456" s="76"/>
      <c r="AK456" s="77"/>
      <c r="AL456" s="77"/>
      <c r="AM456" s="32" t="e">
        <f>[1]Calc!$D$34/[1]Calc!$D$47</f>
        <v>#DIV/0!</v>
      </c>
      <c r="AN456" s="75"/>
      <c r="AO456" s="76"/>
      <c r="AP456" s="77"/>
      <c r="AQ456" s="77"/>
      <c r="AR456" s="32" t="e">
        <f>[1]Calc!$E$34/[1]Calc!$E$47</f>
        <v>#DIV/0!</v>
      </c>
      <c r="AS456" s="75"/>
      <c r="AT456" s="76"/>
      <c r="AU456" s="77"/>
      <c r="AV456" s="77"/>
      <c r="AW456" s="30"/>
      <c r="AX456" s="75"/>
      <c r="AY456" s="44"/>
      <c r="AZ456" s="80"/>
      <c r="BA456" s="77">
        <f>AG456+AL456+AQ456+AV456</f>
        <v>45.093937867611189</v>
      </c>
      <c r="BB456" s="9"/>
    </row>
    <row r="457" spans="1:54" x14ac:dyDescent="0.35">
      <c r="A457" s="54"/>
      <c r="B457" s="55"/>
      <c r="C457" s="42"/>
      <c r="D457" s="43"/>
      <c r="E457" s="44"/>
      <c r="F457" s="89"/>
      <c r="G457" s="77"/>
      <c r="H457" s="42"/>
      <c r="I457" s="43"/>
      <c r="J457" s="44"/>
      <c r="K457" s="89"/>
      <c r="L457" s="77"/>
      <c r="M457" s="30"/>
      <c r="N457" s="43"/>
      <c r="O457" s="44"/>
      <c r="P457" s="89"/>
      <c r="Q457" s="77"/>
      <c r="R457" s="30"/>
      <c r="S457" s="43"/>
      <c r="T457" s="44"/>
      <c r="U457" s="89"/>
      <c r="V457" s="77"/>
      <c r="W457" s="30"/>
      <c r="X457" s="43"/>
      <c r="Y457" s="44"/>
      <c r="Z457" s="89"/>
      <c r="AA457" s="77"/>
      <c r="AB457" s="42"/>
      <c r="AC457" s="46"/>
      <c r="AD457" s="43"/>
      <c r="AE457" s="44"/>
      <c r="AF457" s="89"/>
      <c r="AG457" s="77"/>
      <c r="AH457" s="32" t="e">
        <f>[1]Calc!$C$34/[1]Calc!$C$47</f>
        <v>#DIV/0!</v>
      </c>
      <c r="AI457" s="43"/>
      <c r="AJ457" s="44"/>
      <c r="AK457" s="89"/>
      <c r="AL457" s="77"/>
      <c r="AM457" s="32" t="e">
        <f>[1]Calc!$D$34/[1]Calc!$D$47</f>
        <v>#DIV/0!</v>
      </c>
      <c r="AN457" s="43"/>
      <c r="AO457" s="44"/>
      <c r="AP457" s="89"/>
      <c r="AQ457" s="77"/>
      <c r="AR457" s="32" t="e">
        <f>[1]Calc!$E$34/[1]Calc!$E$47</f>
        <v>#DIV/0!</v>
      </c>
      <c r="AS457" s="43"/>
      <c r="AT457" s="44"/>
      <c r="AU457" s="89"/>
      <c r="AV457" s="77"/>
      <c r="AW457" s="30"/>
      <c r="AX457" s="43"/>
      <c r="AY457" s="44"/>
      <c r="AZ457" s="89"/>
      <c r="BA457" s="77"/>
      <c r="BB457" s="9"/>
    </row>
    <row r="458" spans="1:54" ht="29" x14ac:dyDescent="0.35">
      <c r="A458" s="54"/>
      <c r="B458" s="180" t="s">
        <v>183</v>
      </c>
      <c r="C458" s="42"/>
      <c r="D458" s="43"/>
      <c r="E458" s="44"/>
      <c r="F458" s="89"/>
      <c r="G458" s="77"/>
      <c r="H458" s="42"/>
      <c r="I458" s="43"/>
      <c r="J458" s="44"/>
      <c r="K458" s="89"/>
      <c r="L458" s="77"/>
      <c r="M458" s="30"/>
      <c r="N458" s="43"/>
      <c r="O458" s="44"/>
      <c r="P458" s="89"/>
      <c r="Q458" s="77"/>
      <c r="R458" s="30"/>
      <c r="S458" s="43"/>
      <c r="T458" s="44"/>
      <c r="U458" s="89"/>
      <c r="V458" s="77"/>
      <c r="W458" s="30"/>
      <c r="X458" s="43"/>
      <c r="Y458" s="44"/>
      <c r="Z458" s="89"/>
      <c r="AA458" s="77"/>
      <c r="AB458" s="42"/>
      <c r="AC458" s="46"/>
      <c r="AD458" s="43"/>
      <c r="AE458" s="44"/>
      <c r="AF458" s="89"/>
      <c r="AG458" s="77"/>
      <c r="AH458" s="32" t="e">
        <f>[1]Calc!$C$34/[1]Calc!$C$47</f>
        <v>#DIV/0!</v>
      </c>
      <c r="AI458" s="43"/>
      <c r="AJ458" s="44"/>
      <c r="AK458" s="89"/>
      <c r="AL458" s="77"/>
      <c r="AM458" s="32" t="e">
        <f>[1]Calc!$D$34/[1]Calc!$D$47</f>
        <v>#DIV/0!</v>
      </c>
      <c r="AN458" s="43"/>
      <c r="AO458" s="44"/>
      <c r="AP458" s="89"/>
      <c r="AQ458" s="77"/>
      <c r="AR458" s="32" t="e">
        <f>[1]Calc!$E$34/[1]Calc!$E$47</f>
        <v>#DIV/0!</v>
      </c>
      <c r="AS458" s="43"/>
      <c r="AT458" s="44"/>
      <c r="AU458" s="89"/>
      <c r="AV458" s="77"/>
      <c r="AW458" s="30"/>
      <c r="AX458" s="43"/>
      <c r="AY458" s="44"/>
      <c r="AZ458" s="89"/>
      <c r="BA458" s="77"/>
      <c r="BB458" s="9"/>
    </row>
    <row r="459" spans="1:54" x14ac:dyDescent="0.35">
      <c r="A459" s="54"/>
      <c r="B459" s="55"/>
      <c r="C459" s="42"/>
      <c r="D459" s="43"/>
      <c r="E459" s="44"/>
      <c r="F459" s="89"/>
      <c r="G459" s="77"/>
      <c r="H459" s="42"/>
      <c r="I459" s="43"/>
      <c r="J459" s="44"/>
      <c r="K459" s="89"/>
      <c r="L459" s="77"/>
      <c r="M459" s="30"/>
      <c r="N459" s="43"/>
      <c r="O459" s="44"/>
      <c r="P459" s="89"/>
      <c r="Q459" s="77"/>
      <c r="R459" s="30"/>
      <c r="S459" s="43"/>
      <c r="T459" s="44"/>
      <c r="U459" s="89"/>
      <c r="V459" s="77"/>
      <c r="W459" s="30"/>
      <c r="X459" s="43"/>
      <c r="Y459" s="44"/>
      <c r="Z459" s="89"/>
      <c r="AA459" s="77"/>
      <c r="AB459" s="42"/>
      <c r="AC459" s="46"/>
      <c r="AD459" s="43"/>
      <c r="AE459" s="44"/>
      <c r="AF459" s="89"/>
      <c r="AG459" s="77"/>
      <c r="AH459" s="32" t="e">
        <f>[1]Calc!$C$34/[1]Calc!$C$47</f>
        <v>#DIV/0!</v>
      </c>
      <c r="AI459" s="43"/>
      <c r="AJ459" s="44"/>
      <c r="AK459" s="89"/>
      <c r="AL459" s="77"/>
      <c r="AM459" s="32" t="e">
        <f>[1]Calc!$D$34/[1]Calc!$D$47</f>
        <v>#DIV/0!</v>
      </c>
      <c r="AN459" s="43"/>
      <c r="AO459" s="44"/>
      <c r="AP459" s="89"/>
      <c r="AQ459" s="77"/>
      <c r="AR459" s="32" t="e">
        <f>[1]Calc!$E$34/[1]Calc!$E$47</f>
        <v>#DIV/0!</v>
      </c>
      <c r="AS459" s="43"/>
      <c r="AT459" s="44"/>
      <c r="AU459" s="89"/>
      <c r="AV459" s="77"/>
      <c r="AW459" s="30"/>
      <c r="AX459" s="43"/>
      <c r="AY459" s="44"/>
      <c r="AZ459" s="89"/>
      <c r="BA459" s="77"/>
      <c r="BB459" s="9"/>
    </row>
    <row r="460" spans="1:54" x14ac:dyDescent="0.35">
      <c r="A460" s="54"/>
      <c r="B460" s="181" t="s">
        <v>184</v>
      </c>
      <c r="C460" s="74" t="s">
        <v>27</v>
      </c>
      <c r="D460" s="75" t="s">
        <v>185</v>
      </c>
      <c r="E460" s="44">
        <v>3.6958878658101463E-2</v>
      </c>
      <c r="F460" s="80">
        <v>609.79606894964149</v>
      </c>
      <c r="G460" s="77">
        <v>22.537378918497073</v>
      </c>
      <c r="H460" s="74"/>
      <c r="I460" s="75" t="s">
        <v>185</v>
      </c>
      <c r="J460" s="76">
        <v>3.6958878658101463E-2</v>
      </c>
      <c r="K460" s="89">
        <v>609.79606894964149</v>
      </c>
      <c r="L460" s="77">
        <v>22.537378918497073</v>
      </c>
      <c r="M460" s="30"/>
      <c r="N460" s="75"/>
      <c r="O460" s="76"/>
      <c r="P460" s="89"/>
      <c r="Q460" s="77">
        <v>0</v>
      </c>
      <c r="R460" s="30"/>
      <c r="S460" s="75"/>
      <c r="T460" s="76"/>
      <c r="U460" s="89"/>
      <c r="V460" s="77">
        <v>0</v>
      </c>
      <c r="W460" s="30"/>
      <c r="X460" s="75"/>
      <c r="Y460" s="76"/>
      <c r="Z460" s="89"/>
      <c r="AA460" s="77">
        <v>0</v>
      </c>
      <c r="AB460" s="74"/>
      <c r="AC460" s="46">
        <f>[1]Calc!$B$34/[1]Calc!$B$47</f>
        <v>2.8050750609368586E-2</v>
      </c>
      <c r="AD460" s="75"/>
      <c r="AE460" s="76"/>
      <c r="AF460" s="89"/>
      <c r="AG460" s="77">
        <f>AC460*646.081</f>
        <v>18.123057004451464</v>
      </c>
      <c r="AH460" s="32" t="e">
        <f>[1]Calc!$C$34/[1]Calc!$C$47</f>
        <v>#DIV/0!</v>
      </c>
      <c r="AI460" s="75"/>
      <c r="AJ460" s="76"/>
      <c r="AK460" s="89"/>
      <c r="AL460" s="77"/>
      <c r="AM460" s="32" t="e">
        <f>[1]Calc!$D$34/[1]Calc!$D$47</f>
        <v>#DIV/0!</v>
      </c>
      <c r="AN460" s="75"/>
      <c r="AO460" s="76"/>
      <c r="AP460" s="89"/>
      <c r="AQ460" s="77"/>
      <c r="AR460" s="32" t="e">
        <f>[1]Calc!$E$34/[1]Calc!$E$47</f>
        <v>#DIV/0!</v>
      </c>
      <c r="AS460" s="75"/>
      <c r="AT460" s="76"/>
      <c r="AU460" s="89"/>
      <c r="AV460" s="77"/>
      <c r="AW460" s="30"/>
      <c r="AX460" s="75"/>
      <c r="AY460" s="44"/>
      <c r="AZ460" s="80"/>
      <c r="BA460" s="77">
        <f t="shared" ref="BA460:BA466" si="17">AG460+AL460+AQ460+AV460</f>
        <v>18.123057004451464</v>
      </c>
      <c r="BB460" s="9"/>
    </row>
    <row r="461" spans="1:54" x14ac:dyDescent="0.35">
      <c r="A461" s="54"/>
      <c r="B461" s="182" t="s">
        <v>186</v>
      </c>
      <c r="C461" s="74" t="s">
        <v>27</v>
      </c>
      <c r="D461" s="75" t="s">
        <v>187</v>
      </c>
      <c r="E461" s="44">
        <v>3.6958878658101463E-2</v>
      </c>
      <c r="F461" s="80">
        <v>609.79606894964149</v>
      </c>
      <c r="G461" s="77">
        <v>22.537378918497073</v>
      </c>
      <c r="H461" s="74"/>
      <c r="I461" s="75" t="s">
        <v>187</v>
      </c>
      <c r="J461" s="76">
        <v>3.6958878658101463E-2</v>
      </c>
      <c r="K461" s="89">
        <v>609.79606894964149</v>
      </c>
      <c r="L461" s="77">
        <v>22.537378918497073</v>
      </c>
      <c r="M461" s="30"/>
      <c r="N461" s="75"/>
      <c r="O461" s="76"/>
      <c r="P461" s="89"/>
      <c r="Q461" s="77">
        <v>0</v>
      </c>
      <c r="R461" s="30"/>
      <c r="S461" s="75"/>
      <c r="T461" s="76"/>
      <c r="U461" s="89"/>
      <c r="V461" s="77">
        <v>0</v>
      </c>
      <c r="W461" s="30"/>
      <c r="X461" s="75"/>
      <c r="Y461" s="76"/>
      <c r="Z461" s="89"/>
      <c r="AA461" s="77">
        <v>0</v>
      </c>
      <c r="AB461" s="74"/>
      <c r="AC461" s="46">
        <f>[1]Calc!$B$34/[1]Calc!$B$47</f>
        <v>2.8050750609368586E-2</v>
      </c>
      <c r="AD461" s="75"/>
      <c r="AE461" s="76"/>
      <c r="AF461" s="89"/>
      <c r="AG461" s="77">
        <f>AC461*3950.724</f>
        <v>110.82077365044711</v>
      </c>
      <c r="AH461" s="32" t="e">
        <f>[1]Calc!$C$34/[1]Calc!$C$47</f>
        <v>#DIV/0!</v>
      </c>
      <c r="AI461" s="75"/>
      <c r="AJ461" s="76"/>
      <c r="AK461" s="89"/>
      <c r="AL461" s="77"/>
      <c r="AM461" s="32" t="e">
        <f>[1]Calc!$D$34/[1]Calc!$D$47</f>
        <v>#DIV/0!</v>
      </c>
      <c r="AN461" s="75"/>
      <c r="AO461" s="76"/>
      <c r="AP461" s="89"/>
      <c r="AQ461" s="77"/>
      <c r="AR461" s="32" t="e">
        <f>[1]Calc!$E$34/[1]Calc!$E$47</f>
        <v>#DIV/0!</v>
      </c>
      <c r="AS461" s="75"/>
      <c r="AT461" s="76"/>
      <c r="AU461" s="89"/>
      <c r="AV461" s="77"/>
      <c r="AW461" s="30"/>
      <c r="AX461" s="75"/>
      <c r="AY461" s="44"/>
      <c r="AZ461" s="80"/>
      <c r="BA461" s="77">
        <f t="shared" si="17"/>
        <v>110.82077365044711</v>
      </c>
      <c r="BB461" s="9"/>
    </row>
    <row r="462" spans="1:54" x14ac:dyDescent="0.35">
      <c r="A462" s="54"/>
      <c r="B462" s="181" t="s">
        <v>188</v>
      </c>
      <c r="C462" s="74" t="s">
        <v>27</v>
      </c>
      <c r="D462" s="75" t="s">
        <v>189</v>
      </c>
      <c r="E462" s="44">
        <v>1.2319626219367155E-2</v>
      </c>
      <c r="F462" s="80">
        <v>4263.9803447482072</v>
      </c>
      <c r="G462" s="77">
        <v>52.530644054026212</v>
      </c>
      <c r="H462" s="74"/>
      <c r="I462" s="75" t="s">
        <v>189</v>
      </c>
      <c r="J462" s="76">
        <v>1.2319626219367155E-2</v>
      </c>
      <c r="K462" s="89">
        <v>4263.9803447482072</v>
      </c>
      <c r="L462" s="77">
        <v>52.530644054026212</v>
      </c>
      <c r="M462" s="30"/>
      <c r="N462" s="75"/>
      <c r="O462" s="76"/>
      <c r="P462" s="89"/>
      <c r="Q462" s="77">
        <v>0</v>
      </c>
      <c r="R462" s="30"/>
      <c r="S462" s="75"/>
      <c r="T462" s="76"/>
      <c r="U462" s="89"/>
      <c r="V462" s="77">
        <v>0</v>
      </c>
      <c r="W462" s="30"/>
      <c r="X462" s="75"/>
      <c r="Y462" s="76"/>
      <c r="Z462" s="89"/>
      <c r="AA462" s="77">
        <v>0</v>
      </c>
      <c r="AB462" s="74"/>
      <c r="AC462" s="46">
        <f>[1]Calc!$B$34/[1]Calc!$B$47</f>
        <v>2.8050750609368586E-2</v>
      </c>
      <c r="AD462" s="75"/>
      <c r="AE462" s="76"/>
      <c r="AF462" s="89"/>
      <c r="AG462" s="77">
        <f>AC462*4114.531</f>
        <v>115.41568295551593</v>
      </c>
      <c r="AH462" s="32" t="e">
        <f>[1]Calc!$C$34/[1]Calc!$C$47</f>
        <v>#DIV/0!</v>
      </c>
      <c r="AI462" s="75"/>
      <c r="AJ462" s="76"/>
      <c r="AK462" s="89"/>
      <c r="AL462" s="77"/>
      <c r="AM462" s="32" t="e">
        <f>[1]Calc!$D$34/[1]Calc!$D$47</f>
        <v>#DIV/0!</v>
      </c>
      <c r="AN462" s="75"/>
      <c r="AO462" s="76"/>
      <c r="AP462" s="89"/>
      <c r="AQ462" s="77"/>
      <c r="AR462" s="32" t="e">
        <f>[1]Calc!$E$34/[1]Calc!$E$47</f>
        <v>#DIV/0!</v>
      </c>
      <c r="AS462" s="75"/>
      <c r="AT462" s="76"/>
      <c r="AU462" s="89"/>
      <c r="AV462" s="77"/>
      <c r="AW462" s="30"/>
      <c r="AX462" s="75"/>
      <c r="AY462" s="44"/>
      <c r="AZ462" s="80"/>
      <c r="BA462" s="77">
        <f t="shared" si="17"/>
        <v>115.41568295551593</v>
      </c>
      <c r="BB462" s="9"/>
    </row>
    <row r="463" spans="1:54" x14ac:dyDescent="0.35">
      <c r="A463" s="54"/>
      <c r="B463" s="181" t="s">
        <v>190</v>
      </c>
      <c r="C463" s="74" t="s">
        <v>27</v>
      </c>
      <c r="D463" s="75" t="s">
        <v>189</v>
      </c>
      <c r="E463" s="44">
        <v>1.2319626219367155E-2</v>
      </c>
      <c r="F463" s="80">
        <v>6097.9606894964154</v>
      </c>
      <c r="G463" s="77">
        <v>75.124596394990249</v>
      </c>
      <c r="H463" s="74"/>
      <c r="I463" s="75" t="s">
        <v>189</v>
      </c>
      <c r="J463" s="76">
        <v>1.2319626219367155E-2</v>
      </c>
      <c r="K463" s="89">
        <v>6097.9606894964154</v>
      </c>
      <c r="L463" s="77">
        <v>75.124596394990249</v>
      </c>
      <c r="M463" s="30"/>
      <c r="N463" s="75"/>
      <c r="O463" s="76"/>
      <c r="P463" s="89"/>
      <c r="Q463" s="77">
        <v>0</v>
      </c>
      <c r="R463" s="30"/>
      <c r="S463" s="75"/>
      <c r="T463" s="76"/>
      <c r="U463" s="89"/>
      <c r="V463" s="77">
        <v>0</v>
      </c>
      <c r="W463" s="30"/>
      <c r="X463" s="75"/>
      <c r="Y463" s="76"/>
      <c r="Z463" s="89"/>
      <c r="AA463" s="77">
        <v>0</v>
      </c>
      <c r="AB463" s="74"/>
      <c r="AC463" s="46">
        <f>[1]Calc!$B$34/[1]Calc!$B$47</f>
        <v>2.8050750609368586E-2</v>
      </c>
      <c r="AD463" s="75"/>
      <c r="AE463" s="76"/>
      <c r="AF463" s="89"/>
      <c r="AG463" s="77">
        <f>AC463*6605.755</f>
        <v>185.2963860915896</v>
      </c>
      <c r="AH463" s="32" t="e">
        <f>[1]Calc!$C$34/[1]Calc!$C$47</f>
        <v>#DIV/0!</v>
      </c>
      <c r="AI463" s="75"/>
      <c r="AJ463" s="76"/>
      <c r="AK463" s="89"/>
      <c r="AL463" s="77"/>
      <c r="AM463" s="32" t="e">
        <f>[1]Calc!$D$34/[1]Calc!$D$47</f>
        <v>#DIV/0!</v>
      </c>
      <c r="AN463" s="75"/>
      <c r="AO463" s="76"/>
      <c r="AP463" s="89"/>
      <c r="AQ463" s="77"/>
      <c r="AR463" s="32" t="e">
        <f>[1]Calc!$E$34/[1]Calc!$E$47</f>
        <v>#DIV/0!</v>
      </c>
      <c r="AS463" s="75"/>
      <c r="AT463" s="76"/>
      <c r="AU463" s="89"/>
      <c r="AV463" s="77"/>
      <c r="AW463" s="30"/>
      <c r="AX463" s="75"/>
      <c r="AY463" s="44"/>
      <c r="AZ463" s="80"/>
      <c r="BA463" s="77">
        <f t="shared" si="17"/>
        <v>185.2963860915896</v>
      </c>
      <c r="BB463" s="9"/>
    </row>
    <row r="464" spans="1:54" x14ac:dyDescent="0.35">
      <c r="A464" s="54"/>
      <c r="B464" s="181" t="s">
        <v>191</v>
      </c>
      <c r="C464" s="74" t="s">
        <v>27</v>
      </c>
      <c r="D464" s="75" t="s">
        <v>192</v>
      </c>
      <c r="E464" s="44">
        <v>1.2319626219367155E-2</v>
      </c>
      <c r="F464" s="80">
        <v>4573.4705171223113</v>
      </c>
      <c r="G464" s="77">
        <v>56.343447296242687</v>
      </c>
      <c r="H464" s="74"/>
      <c r="I464" s="75" t="s">
        <v>192</v>
      </c>
      <c r="J464" s="76">
        <v>1.2319626219367155E-2</v>
      </c>
      <c r="K464" s="89">
        <v>4573.4705171223113</v>
      </c>
      <c r="L464" s="77">
        <v>56.343447296242687</v>
      </c>
      <c r="M464" s="30"/>
      <c r="N464" s="75"/>
      <c r="O464" s="76"/>
      <c r="P464" s="89"/>
      <c r="Q464" s="77">
        <v>0</v>
      </c>
      <c r="R464" s="30"/>
      <c r="S464" s="75"/>
      <c r="T464" s="76"/>
      <c r="U464" s="89"/>
      <c r="V464" s="77">
        <v>0</v>
      </c>
      <c r="W464" s="30"/>
      <c r="X464" s="75"/>
      <c r="Y464" s="76"/>
      <c r="Z464" s="89"/>
      <c r="AA464" s="77">
        <v>0</v>
      </c>
      <c r="AB464" s="74"/>
      <c r="AC464" s="46">
        <f>[1]Calc!$B$34/[1]Calc!$B$47</f>
        <v>2.8050750609368586E-2</v>
      </c>
      <c r="AD464" s="75"/>
      <c r="AE464" s="76"/>
      <c r="AF464" s="89"/>
      <c r="AG464" s="77">
        <f>AC464*6202.684</f>
        <v>173.98994199272079</v>
      </c>
      <c r="AH464" s="32" t="e">
        <f>[1]Calc!$C$34/[1]Calc!$C$47</f>
        <v>#DIV/0!</v>
      </c>
      <c r="AI464" s="75"/>
      <c r="AJ464" s="76"/>
      <c r="AK464" s="89"/>
      <c r="AL464" s="77"/>
      <c r="AM464" s="32" t="e">
        <f>[1]Calc!$D$34/[1]Calc!$D$47</f>
        <v>#DIV/0!</v>
      </c>
      <c r="AN464" s="75"/>
      <c r="AO464" s="76"/>
      <c r="AP464" s="89"/>
      <c r="AQ464" s="77"/>
      <c r="AR464" s="32" t="e">
        <f>[1]Calc!$E$34/[1]Calc!$E$47</f>
        <v>#DIV/0!</v>
      </c>
      <c r="AS464" s="75"/>
      <c r="AT464" s="76"/>
      <c r="AU464" s="89"/>
      <c r="AV464" s="77"/>
      <c r="AW464" s="30"/>
      <c r="AX464" s="75"/>
      <c r="AY464" s="44"/>
      <c r="AZ464" s="80"/>
      <c r="BA464" s="77">
        <f t="shared" si="17"/>
        <v>173.98994199272079</v>
      </c>
      <c r="BB464" s="9"/>
    </row>
    <row r="465" spans="1:54" x14ac:dyDescent="0.35">
      <c r="A465" s="54"/>
      <c r="B465" s="183" t="s">
        <v>193</v>
      </c>
      <c r="C465" s="87" t="s">
        <v>27</v>
      </c>
      <c r="D465" s="75" t="s">
        <v>194</v>
      </c>
      <c r="E465" s="44">
        <v>0.1218618387249399</v>
      </c>
      <c r="F465" s="80">
        <v>548.81646205467734</v>
      </c>
      <c r="G465" s="77">
        <v>66.879783188499189</v>
      </c>
      <c r="H465" s="87"/>
      <c r="I465" s="75" t="s">
        <v>194</v>
      </c>
      <c r="J465" s="184">
        <v>1.2319626219367155E-2</v>
      </c>
      <c r="K465" s="147">
        <v>548.81646205467734</v>
      </c>
      <c r="L465" s="77">
        <v>6.7612136755491221</v>
      </c>
      <c r="M465" s="30"/>
      <c r="N465" s="75" t="s">
        <v>194</v>
      </c>
      <c r="O465" s="184">
        <v>4.7022502062862258E-2</v>
      </c>
      <c r="P465" s="147">
        <v>548.81646205467734</v>
      </c>
      <c r="Q465" s="77">
        <v>25.806723219098831</v>
      </c>
      <c r="R465" s="30"/>
      <c r="S465" s="75" t="s">
        <v>194</v>
      </c>
      <c r="T465" s="184">
        <v>6.2519710442710485E-2</v>
      </c>
      <c r="U465" s="147">
        <v>548.81646205467734</v>
      </c>
      <c r="V465" s="77">
        <v>34.311846293851232</v>
      </c>
      <c r="W465" s="30"/>
      <c r="X465" s="75" t="s">
        <v>194</v>
      </c>
      <c r="Y465" s="184">
        <v>0</v>
      </c>
      <c r="Z465" s="147">
        <v>548.81646205467734</v>
      </c>
      <c r="AA465" s="77">
        <v>0</v>
      </c>
      <c r="AB465" s="87"/>
      <c r="AC465" s="46">
        <f>[1]Calc!$B$34/[1]Calc!$B$47</f>
        <v>2.8050750609368586E-2</v>
      </c>
      <c r="AD465" s="75"/>
      <c r="AE465" s="184"/>
      <c r="AF465" s="147"/>
      <c r="AG465" s="77">
        <f>AC465*304.9</f>
        <v>8.5526738607964816</v>
      </c>
      <c r="AH465" s="32" t="e">
        <f>[1]Calc!$C$34/[1]Calc!$C$47</f>
        <v>#DIV/0!</v>
      </c>
      <c r="AI465" s="75"/>
      <c r="AJ465" s="184"/>
      <c r="AK465" s="147"/>
      <c r="AL465" s="77"/>
      <c r="AM465" s="32" t="e">
        <f>[1]Calc!$D$34/[1]Calc!$D$47</f>
        <v>#DIV/0!</v>
      </c>
      <c r="AN465" s="75"/>
      <c r="AO465" s="184"/>
      <c r="AP465" s="147"/>
      <c r="AQ465" s="77"/>
      <c r="AR465" s="32" t="e">
        <f>[1]Calc!$E$34/[1]Calc!$E$47</f>
        <v>#DIV/0!</v>
      </c>
      <c r="AS465" s="75"/>
      <c r="AT465" s="184"/>
      <c r="AU465" s="147"/>
      <c r="AV465" s="77"/>
      <c r="AW465" s="30"/>
      <c r="AX465" s="75"/>
      <c r="AY465" s="44"/>
      <c r="AZ465" s="80"/>
      <c r="BA465" s="77">
        <f t="shared" si="17"/>
        <v>8.5526738607964816</v>
      </c>
      <c r="BB465" s="9"/>
    </row>
    <row r="466" spans="1:54" x14ac:dyDescent="0.35">
      <c r="A466" s="54"/>
      <c r="B466" s="181" t="s">
        <v>195</v>
      </c>
      <c r="C466" s="74" t="s">
        <v>27</v>
      </c>
      <c r="D466" s="75" t="s">
        <v>103</v>
      </c>
      <c r="E466" s="44">
        <v>1.2319626219367155E-2</v>
      </c>
      <c r="F466" s="80">
        <v>609.79606894964149</v>
      </c>
      <c r="G466" s="77">
        <v>7.5124596394990251</v>
      </c>
      <c r="H466" s="74"/>
      <c r="I466" s="75" t="s">
        <v>103</v>
      </c>
      <c r="J466" s="76">
        <v>1.2319626219367155E-2</v>
      </c>
      <c r="K466" s="89">
        <v>609.79606894964149</v>
      </c>
      <c r="L466" s="77">
        <v>7.5124596394990251</v>
      </c>
      <c r="M466" s="30"/>
      <c r="N466" s="75"/>
      <c r="O466" s="76"/>
      <c r="P466" s="89"/>
      <c r="Q466" s="77">
        <v>0</v>
      </c>
      <c r="R466" s="30"/>
      <c r="S466" s="75"/>
      <c r="T466" s="76"/>
      <c r="U466" s="89"/>
      <c r="V466" s="77">
        <v>0</v>
      </c>
      <c r="W466" s="30"/>
      <c r="X466" s="75"/>
      <c r="Y466" s="76"/>
      <c r="Z466" s="89"/>
      <c r="AA466" s="77">
        <v>0</v>
      </c>
      <c r="AB466" s="74"/>
      <c r="AC466" s="46">
        <f>[1]Calc!$B$34/[1]Calc!$B$47</f>
        <v>2.8050750609368586E-2</v>
      </c>
      <c r="AD466" s="75"/>
      <c r="AE466" s="76"/>
      <c r="AF466" s="89"/>
      <c r="AG466" s="77">
        <f>AC466*3923.298</f>
        <v>110.05145376423455</v>
      </c>
      <c r="AH466" s="32" t="e">
        <f>[1]Calc!$C$34/[1]Calc!$C$47</f>
        <v>#DIV/0!</v>
      </c>
      <c r="AI466" s="75"/>
      <c r="AJ466" s="76"/>
      <c r="AK466" s="89"/>
      <c r="AL466" s="77"/>
      <c r="AM466" s="32" t="e">
        <f>[1]Calc!$D$34/[1]Calc!$D$47</f>
        <v>#DIV/0!</v>
      </c>
      <c r="AN466" s="75"/>
      <c r="AO466" s="76"/>
      <c r="AP466" s="89"/>
      <c r="AQ466" s="77"/>
      <c r="AR466" s="32" t="e">
        <f>[1]Calc!$E$34/[1]Calc!$E$47</f>
        <v>#DIV/0!</v>
      </c>
      <c r="AS466" s="75"/>
      <c r="AT466" s="76"/>
      <c r="AU466" s="89"/>
      <c r="AV466" s="77"/>
      <c r="AW466" s="30"/>
      <c r="AX466" s="75"/>
      <c r="AY466" s="44"/>
      <c r="AZ466" s="80"/>
      <c r="BA466" s="77">
        <f t="shared" si="17"/>
        <v>110.05145376423455</v>
      </c>
      <c r="BB466" s="9"/>
    </row>
    <row r="467" spans="1:54" x14ac:dyDescent="0.35">
      <c r="A467" s="54"/>
      <c r="B467" s="55"/>
      <c r="C467" s="42"/>
      <c r="D467" s="43"/>
      <c r="E467" s="44"/>
      <c r="F467" s="89"/>
      <c r="G467" s="89"/>
      <c r="H467" s="42"/>
      <c r="I467" s="43"/>
      <c r="J467" s="44"/>
      <c r="K467" s="89"/>
      <c r="L467" s="89"/>
      <c r="M467" s="30"/>
      <c r="N467" s="43"/>
      <c r="O467" s="44"/>
      <c r="P467" s="89"/>
      <c r="Q467" s="89"/>
      <c r="R467" s="30"/>
      <c r="S467" s="43"/>
      <c r="T467" s="44"/>
      <c r="U467" s="89"/>
      <c r="V467" s="89"/>
      <c r="W467" s="30"/>
      <c r="X467" s="43"/>
      <c r="Y467" s="44"/>
      <c r="Z467" s="89"/>
      <c r="AA467" s="89"/>
      <c r="AB467" s="42"/>
      <c r="AC467" s="46"/>
      <c r="AD467" s="43"/>
      <c r="AE467" s="44"/>
      <c r="AF467" s="89"/>
      <c r="AG467" s="89"/>
      <c r="AH467" s="32"/>
      <c r="AI467" s="43"/>
      <c r="AJ467" s="44"/>
      <c r="AK467" s="89"/>
      <c r="AL467" s="89"/>
      <c r="AM467" s="32"/>
      <c r="AN467" s="43"/>
      <c r="AO467" s="44"/>
      <c r="AP467" s="89"/>
      <c r="AQ467" s="89"/>
      <c r="AR467" s="32"/>
      <c r="AS467" s="43"/>
      <c r="AT467" s="44"/>
      <c r="AU467" s="89"/>
      <c r="AV467" s="89"/>
      <c r="AW467" s="30"/>
      <c r="AX467" s="43"/>
      <c r="AY467" s="44"/>
      <c r="AZ467" s="89"/>
      <c r="BA467" s="89"/>
      <c r="BB467" s="9"/>
    </row>
    <row r="468" spans="1:54" x14ac:dyDescent="0.35">
      <c r="A468" s="54"/>
      <c r="B468" s="55" t="s">
        <v>196</v>
      </c>
      <c r="C468" s="42"/>
      <c r="D468" s="43"/>
      <c r="E468" s="44"/>
      <c r="F468" s="89"/>
      <c r="G468" s="89"/>
      <c r="H468" s="42"/>
      <c r="I468" s="43"/>
      <c r="J468" s="44"/>
      <c r="K468" s="89"/>
      <c r="L468" s="89"/>
      <c r="M468" s="30"/>
      <c r="N468" s="43"/>
      <c r="O468" s="44"/>
      <c r="P468" s="89"/>
      <c r="Q468" s="89"/>
      <c r="R468" s="30"/>
      <c r="S468" s="43"/>
      <c r="T468" s="44"/>
      <c r="U468" s="89"/>
      <c r="V468" s="89"/>
      <c r="W468" s="30"/>
      <c r="X468" s="43"/>
      <c r="Y468" s="44"/>
      <c r="Z468" s="89"/>
      <c r="AA468" s="89"/>
      <c r="AB468" s="42"/>
      <c r="AC468" s="46"/>
      <c r="AD468" s="43"/>
      <c r="AE468" s="44"/>
      <c r="AF468" s="89"/>
      <c r="AG468" s="89"/>
      <c r="AH468" s="32"/>
      <c r="AI468" s="43"/>
      <c r="AJ468" s="44"/>
      <c r="AK468" s="89"/>
      <c r="AL468" s="89"/>
      <c r="AM468" s="32"/>
      <c r="AN468" s="43"/>
      <c r="AO468" s="44"/>
      <c r="AP468" s="89"/>
      <c r="AQ468" s="89"/>
      <c r="AR468" s="32"/>
      <c r="AS468" s="43"/>
      <c r="AT468" s="44"/>
      <c r="AU468" s="89"/>
      <c r="AV468" s="89"/>
      <c r="AW468" s="30"/>
      <c r="AX468" s="43"/>
      <c r="AY468" s="44"/>
      <c r="AZ468" s="89"/>
      <c r="BA468" s="89"/>
      <c r="BB468" s="9"/>
    </row>
    <row r="469" spans="1:54" ht="29" x14ac:dyDescent="0.35">
      <c r="A469" s="54" t="s">
        <v>318</v>
      </c>
      <c r="B469" s="180" t="s">
        <v>319</v>
      </c>
      <c r="C469" s="33"/>
      <c r="D469" s="43"/>
      <c r="E469" s="44"/>
      <c r="F469" s="56"/>
      <c r="G469" s="56"/>
      <c r="H469" s="33"/>
      <c r="I469" s="43"/>
      <c r="J469" s="44"/>
      <c r="K469" s="56"/>
      <c r="L469" s="56"/>
      <c r="M469" s="30"/>
      <c r="N469" s="43"/>
      <c r="O469" s="44"/>
      <c r="P469" s="56"/>
      <c r="Q469" s="56"/>
      <c r="R469" s="30"/>
      <c r="S469" s="43"/>
      <c r="T469" s="44"/>
      <c r="U469" s="56"/>
      <c r="V469" s="56"/>
      <c r="W469" s="30"/>
      <c r="X469" s="43"/>
      <c r="Y469" s="44"/>
      <c r="Z469" s="56"/>
      <c r="AA469" s="56"/>
      <c r="AB469" s="33"/>
      <c r="AC469" s="185"/>
      <c r="AD469" s="43"/>
      <c r="AE469" s="44"/>
      <c r="AF469" s="56"/>
      <c r="AG469" s="56"/>
      <c r="AH469" s="32"/>
      <c r="AI469" s="43"/>
      <c r="AJ469" s="44"/>
      <c r="AK469" s="56"/>
      <c r="AL469" s="56"/>
      <c r="AM469" s="32"/>
      <c r="AN469" s="43"/>
      <c r="AO469" s="44"/>
      <c r="AP469" s="56"/>
      <c r="AQ469" s="56"/>
      <c r="AR469" s="32"/>
      <c r="AS469" s="43"/>
      <c r="AT469" s="44"/>
      <c r="AU469" s="56"/>
      <c r="AV469" s="56"/>
      <c r="AW469" s="30"/>
      <c r="AX469" s="43"/>
      <c r="AY469" s="44"/>
      <c r="AZ469" s="56"/>
      <c r="BA469" s="56"/>
      <c r="BB469" s="9"/>
    </row>
    <row r="470" spans="1:54" ht="29" x14ac:dyDescent="0.35">
      <c r="A470" s="54"/>
      <c r="B470" s="188" t="s">
        <v>320</v>
      </c>
      <c r="C470" s="320"/>
      <c r="D470" s="190"/>
      <c r="E470" s="191"/>
      <c r="F470" s="193"/>
      <c r="G470" s="193"/>
      <c r="H470" s="320"/>
      <c r="I470" s="190"/>
      <c r="J470" s="191"/>
      <c r="K470" s="193"/>
      <c r="L470" s="193"/>
      <c r="M470" s="194"/>
      <c r="N470" s="190"/>
      <c r="O470" s="191"/>
      <c r="P470" s="193"/>
      <c r="Q470" s="193"/>
      <c r="R470" s="194"/>
      <c r="S470" s="190"/>
      <c r="T470" s="191"/>
      <c r="U470" s="193"/>
      <c r="V470" s="193"/>
      <c r="W470" s="194"/>
      <c r="X470" s="190"/>
      <c r="Y470" s="191"/>
      <c r="Z470" s="193"/>
      <c r="AA470" s="193"/>
      <c r="AB470" s="320"/>
      <c r="AC470" s="321"/>
      <c r="AD470" s="190"/>
      <c r="AE470" s="191"/>
      <c r="AF470" s="193"/>
      <c r="AG470" s="193"/>
      <c r="AH470" s="196"/>
      <c r="AI470" s="190"/>
      <c r="AJ470" s="191"/>
      <c r="AK470" s="193"/>
      <c r="AL470" s="193"/>
      <c r="AM470" s="196"/>
      <c r="AN470" s="190"/>
      <c r="AO470" s="191"/>
      <c r="AP470" s="193"/>
      <c r="AQ470" s="193"/>
      <c r="AR470" s="196"/>
      <c r="AS470" s="190"/>
      <c r="AT470" s="191"/>
      <c r="AU470" s="193"/>
      <c r="AV470" s="193"/>
      <c r="AW470" s="194"/>
      <c r="AX470" s="190"/>
      <c r="AY470" s="191"/>
      <c r="AZ470" s="193"/>
      <c r="BA470" s="193"/>
      <c r="BB470" s="9"/>
    </row>
    <row r="471" spans="1:54" ht="29" x14ac:dyDescent="0.35">
      <c r="A471" s="54"/>
      <c r="B471" s="322" t="s">
        <v>321</v>
      </c>
      <c r="C471" s="323" t="s">
        <v>27</v>
      </c>
      <c r="D471" s="190"/>
      <c r="E471" s="191"/>
      <c r="F471" s="193"/>
      <c r="G471" s="193"/>
      <c r="H471" s="323"/>
      <c r="I471" s="190"/>
      <c r="J471" s="203"/>
      <c r="K471" s="257"/>
      <c r="L471" s="206"/>
      <c r="M471" s="194"/>
      <c r="N471" s="190"/>
      <c r="O471" s="191"/>
      <c r="P471" s="193"/>
      <c r="Q471" s="193"/>
      <c r="R471" s="194"/>
      <c r="S471" s="190"/>
      <c r="T471" s="191"/>
      <c r="U471" s="193"/>
      <c r="V471" s="193"/>
      <c r="W471" s="194"/>
      <c r="X471" s="190"/>
      <c r="Y471" s="191"/>
      <c r="Z471" s="193"/>
      <c r="AA471" s="193"/>
      <c r="AB471" s="323"/>
      <c r="AC471" s="258"/>
      <c r="AD471" s="190"/>
      <c r="AE471" s="203"/>
      <c r="AF471" s="257"/>
      <c r="AG471" s="206"/>
      <c r="AH471" s="196"/>
      <c r="AI471" s="190"/>
      <c r="AJ471" s="191"/>
      <c r="AK471" s="193"/>
      <c r="AL471" s="193"/>
      <c r="AM471" s="196"/>
      <c r="AN471" s="190"/>
      <c r="AO471" s="191"/>
      <c r="AP471" s="193"/>
      <c r="AQ471" s="193"/>
      <c r="AR471" s="196"/>
      <c r="AS471" s="190"/>
      <c r="AT471" s="191"/>
      <c r="AU471" s="193"/>
      <c r="AV471" s="193"/>
      <c r="AW471" s="194"/>
      <c r="AX471" s="190"/>
      <c r="AY471" s="191"/>
      <c r="AZ471" s="193"/>
      <c r="BA471" s="193"/>
      <c r="BB471" s="9"/>
    </row>
    <row r="472" spans="1:54" x14ac:dyDescent="0.35">
      <c r="A472" s="54"/>
      <c r="B472" s="322" t="s">
        <v>322</v>
      </c>
      <c r="C472" s="323" t="s">
        <v>27</v>
      </c>
      <c r="D472" s="202" t="s">
        <v>218</v>
      </c>
      <c r="E472" s="203">
        <v>1</v>
      </c>
      <c r="F472" s="257">
        <v>152.44901723741037</v>
      </c>
      <c r="G472" s="206">
        <v>152.44901723741037</v>
      </c>
      <c r="H472" s="323"/>
      <c r="I472" s="202" t="s">
        <v>218</v>
      </c>
      <c r="J472" s="203">
        <v>1</v>
      </c>
      <c r="K472" s="257">
        <v>152.44901723741037</v>
      </c>
      <c r="L472" s="206">
        <v>152.44901723741037</v>
      </c>
      <c r="M472" s="207"/>
      <c r="N472" s="202"/>
      <c r="O472" s="203"/>
      <c r="P472" s="206"/>
      <c r="Q472" s="206"/>
      <c r="R472" s="194"/>
      <c r="S472" s="202"/>
      <c r="T472" s="203"/>
      <c r="U472" s="206"/>
      <c r="V472" s="206"/>
      <c r="W472" s="194"/>
      <c r="X472" s="202"/>
      <c r="Y472" s="203"/>
      <c r="Z472" s="206"/>
      <c r="AA472" s="206"/>
      <c r="AB472" s="323"/>
      <c r="AC472" s="258"/>
      <c r="AD472" s="202"/>
      <c r="AE472" s="203"/>
      <c r="AF472" s="257"/>
      <c r="AG472" s="206"/>
      <c r="AH472" s="209"/>
      <c r="AI472" s="202"/>
      <c r="AJ472" s="203"/>
      <c r="AK472" s="206"/>
      <c r="AL472" s="206"/>
      <c r="AM472" s="196"/>
      <c r="AN472" s="202"/>
      <c r="AO472" s="203"/>
      <c r="AP472" s="206"/>
      <c r="AQ472" s="206"/>
      <c r="AR472" s="196"/>
      <c r="AS472" s="202"/>
      <c r="AT472" s="203"/>
      <c r="AU472" s="206"/>
      <c r="AV472" s="206"/>
      <c r="AW472" s="194"/>
      <c r="AX472" s="202"/>
      <c r="AY472" s="203"/>
      <c r="AZ472" s="257"/>
      <c r="BA472" s="206">
        <f t="shared" ref="BA472:BA483" si="18">AG472+AL472+AQ472+AV472</f>
        <v>0</v>
      </c>
      <c r="BB472" s="9"/>
    </row>
    <row r="473" spans="1:54" x14ac:dyDescent="0.35">
      <c r="A473" s="54"/>
      <c r="B473" s="322" t="s">
        <v>323</v>
      </c>
      <c r="C473" s="323" t="s">
        <v>27</v>
      </c>
      <c r="D473" s="202" t="s">
        <v>218</v>
      </c>
      <c r="E473" s="203">
        <v>265</v>
      </c>
      <c r="F473" s="257">
        <v>76.224508618705187</v>
      </c>
      <c r="G473" s="206">
        <v>20199.494783956874</v>
      </c>
      <c r="H473" s="323"/>
      <c r="I473" s="202" t="s">
        <v>218</v>
      </c>
      <c r="J473" s="203">
        <v>265</v>
      </c>
      <c r="K473" s="257">
        <v>76.224508618705187</v>
      </c>
      <c r="L473" s="206">
        <v>20199.494783956874</v>
      </c>
      <c r="M473" s="207"/>
      <c r="N473" s="202"/>
      <c r="O473" s="203"/>
      <c r="P473" s="206"/>
      <c r="Q473" s="206"/>
      <c r="R473" s="194"/>
      <c r="S473" s="202"/>
      <c r="T473" s="203"/>
      <c r="U473" s="206"/>
      <c r="V473" s="206"/>
      <c r="W473" s="194"/>
      <c r="X473" s="202"/>
      <c r="Y473" s="203"/>
      <c r="Z473" s="206"/>
      <c r="AA473" s="206"/>
      <c r="AB473" s="323"/>
      <c r="AC473" s="258"/>
      <c r="AD473" s="202"/>
      <c r="AE473" s="203"/>
      <c r="AF473" s="257"/>
      <c r="AG473" s="206">
        <v>18420.609</v>
      </c>
      <c r="AH473" s="209"/>
      <c r="AI473" s="202"/>
      <c r="AJ473" s="203"/>
      <c r="AK473" s="206"/>
      <c r="AL473" s="206"/>
      <c r="AM473" s="196"/>
      <c r="AN473" s="202"/>
      <c r="AO473" s="203"/>
      <c r="AP473" s="206"/>
      <c r="AQ473" s="206"/>
      <c r="AR473" s="196"/>
      <c r="AS473" s="202"/>
      <c r="AT473" s="203"/>
      <c r="AU473" s="206"/>
      <c r="AV473" s="206"/>
      <c r="AW473" s="194"/>
      <c r="AX473" s="202"/>
      <c r="AY473" s="203"/>
      <c r="AZ473" s="257"/>
      <c r="BA473" s="206">
        <f t="shared" si="18"/>
        <v>18420.609</v>
      </c>
      <c r="BB473" s="9"/>
    </row>
    <row r="474" spans="1:54" x14ac:dyDescent="0.35">
      <c r="A474" s="54"/>
      <c r="B474" s="322" t="s">
        <v>324</v>
      </c>
      <c r="C474" s="323" t="s">
        <v>27</v>
      </c>
      <c r="D474" s="202" t="s">
        <v>218</v>
      </c>
      <c r="E474" s="203">
        <v>1</v>
      </c>
      <c r="F474" s="257">
        <v>457.34705171223112</v>
      </c>
      <c r="G474" s="206">
        <v>457.34705171223112</v>
      </c>
      <c r="H474" s="323"/>
      <c r="I474" s="202" t="s">
        <v>218</v>
      </c>
      <c r="J474" s="203">
        <v>1</v>
      </c>
      <c r="K474" s="257">
        <v>457.34705171223112</v>
      </c>
      <c r="L474" s="206">
        <v>457.34705171223112</v>
      </c>
      <c r="M474" s="207"/>
      <c r="N474" s="202"/>
      <c r="O474" s="203"/>
      <c r="P474" s="206"/>
      <c r="Q474" s="206"/>
      <c r="R474" s="194"/>
      <c r="S474" s="202"/>
      <c r="T474" s="203"/>
      <c r="U474" s="206"/>
      <c r="V474" s="206"/>
      <c r="W474" s="194"/>
      <c r="X474" s="202"/>
      <c r="Y474" s="203"/>
      <c r="Z474" s="206"/>
      <c r="AA474" s="206"/>
      <c r="AB474" s="323"/>
      <c r="AC474" s="258"/>
      <c r="AD474" s="202"/>
      <c r="AE474" s="203"/>
      <c r="AF474" s="257"/>
      <c r="AG474" s="206">
        <v>0</v>
      </c>
      <c r="AH474" s="209"/>
      <c r="AI474" s="202"/>
      <c r="AJ474" s="203"/>
      <c r="AK474" s="206"/>
      <c r="AL474" s="206"/>
      <c r="AM474" s="196"/>
      <c r="AN474" s="202"/>
      <c r="AO474" s="203"/>
      <c r="AP474" s="206"/>
      <c r="AQ474" s="206"/>
      <c r="AR474" s="196"/>
      <c r="AS474" s="202"/>
      <c r="AT474" s="203"/>
      <c r="AU474" s="206"/>
      <c r="AV474" s="206"/>
      <c r="AW474" s="194"/>
      <c r="AX474" s="202"/>
      <c r="AY474" s="203"/>
      <c r="AZ474" s="257"/>
      <c r="BA474" s="206">
        <f t="shared" si="18"/>
        <v>0</v>
      </c>
      <c r="BB474" s="9"/>
    </row>
    <row r="475" spans="1:54" x14ac:dyDescent="0.35">
      <c r="A475" s="54"/>
      <c r="B475" s="322" t="s">
        <v>325</v>
      </c>
      <c r="C475" s="323" t="s">
        <v>27</v>
      </c>
      <c r="D475" s="202" t="s">
        <v>326</v>
      </c>
      <c r="E475" s="203">
        <v>72</v>
      </c>
      <c r="F475" s="257">
        <v>7.6224508618705187</v>
      </c>
      <c r="G475" s="206">
        <v>548.81646205467734</v>
      </c>
      <c r="H475" s="323"/>
      <c r="I475" s="202" t="s">
        <v>326</v>
      </c>
      <c r="J475" s="203">
        <v>72</v>
      </c>
      <c r="K475" s="257">
        <v>7.6224508618705187</v>
      </c>
      <c r="L475" s="206">
        <v>548.81646205467734</v>
      </c>
      <c r="M475" s="207"/>
      <c r="N475" s="202"/>
      <c r="O475" s="203"/>
      <c r="P475" s="206"/>
      <c r="Q475" s="206"/>
      <c r="R475" s="194"/>
      <c r="S475" s="202"/>
      <c r="T475" s="203"/>
      <c r="U475" s="206"/>
      <c r="V475" s="206"/>
      <c r="W475" s="194"/>
      <c r="X475" s="202"/>
      <c r="Y475" s="203"/>
      <c r="Z475" s="206"/>
      <c r="AA475" s="206"/>
      <c r="AB475" s="323"/>
      <c r="AC475" s="258"/>
      <c r="AD475" s="202"/>
      <c r="AE475" s="203"/>
      <c r="AF475" s="257"/>
      <c r="AG475" s="206">
        <v>2309.6030000000001</v>
      </c>
      <c r="AH475" s="209"/>
      <c r="AI475" s="202"/>
      <c r="AJ475" s="203"/>
      <c r="AK475" s="206"/>
      <c r="AL475" s="206"/>
      <c r="AM475" s="196"/>
      <c r="AN475" s="202"/>
      <c r="AO475" s="203"/>
      <c r="AP475" s="206"/>
      <c r="AQ475" s="206"/>
      <c r="AR475" s="196"/>
      <c r="AS475" s="202"/>
      <c r="AT475" s="203"/>
      <c r="AU475" s="206"/>
      <c r="AV475" s="206"/>
      <c r="AW475" s="194"/>
      <c r="AX475" s="202"/>
      <c r="AY475" s="203"/>
      <c r="AZ475" s="257"/>
      <c r="BA475" s="206">
        <f t="shared" si="18"/>
        <v>2309.6030000000001</v>
      </c>
      <c r="BB475" s="9"/>
    </row>
    <row r="476" spans="1:54" x14ac:dyDescent="0.35">
      <c r="A476" s="54"/>
      <c r="B476" s="180" t="s">
        <v>327</v>
      </c>
      <c r="C476" s="74"/>
      <c r="D476" s="324">
        <v>0</v>
      </c>
      <c r="E476" s="325">
        <v>0</v>
      </c>
      <c r="F476" s="146">
        <v>0</v>
      </c>
      <c r="G476" s="177">
        <v>0</v>
      </c>
      <c r="H476" s="74"/>
      <c r="I476" s="176" t="s">
        <v>328</v>
      </c>
      <c r="J476" s="197"/>
      <c r="K476" s="198">
        <v>269.85471005880873</v>
      </c>
      <c r="L476" s="146">
        <v>0</v>
      </c>
      <c r="M476" s="326">
        <v>0</v>
      </c>
      <c r="N476" s="324">
        <v>0</v>
      </c>
      <c r="O476" s="325">
        <v>0</v>
      </c>
      <c r="P476" s="146">
        <v>0</v>
      </c>
      <c r="Q476" s="146">
        <v>0</v>
      </c>
      <c r="R476" s="326">
        <v>0</v>
      </c>
      <c r="S476" s="324">
        <v>0</v>
      </c>
      <c r="T476" s="325">
        <v>0</v>
      </c>
      <c r="U476" s="146">
        <v>0</v>
      </c>
      <c r="V476" s="146">
        <v>0</v>
      </c>
      <c r="W476" s="326">
        <v>0</v>
      </c>
      <c r="X476" s="324">
        <v>0</v>
      </c>
      <c r="Y476" s="325">
        <v>0</v>
      </c>
      <c r="Z476" s="146">
        <v>0</v>
      </c>
      <c r="AA476" s="146">
        <v>0</v>
      </c>
      <c r="AB476" s="74"/>
      <c r="AC476" s="46"/>
      <c r="AD476" s="176"/>
      <c r="AE476" s="197"/>
      <c r="AF476" s="198"/>
      <c r="AG476" s="146"/>
      <c r="AH476" s="327"/>
      <c r="AI476" s="324"/>
      <c r="AJ476" s="325"/>
      <c r="AK476" s="146"/>
      <c r="AL476" s="146"/>
      <c r="AM476" s="327"/>
      <c r="AN476" s="324"/>
      <c r="AO476" s="325"/>
      <c r="AP476" s="146"/>
      <c r="AQ476" s="146"/>
      <c r="AR476" s="327"/>
      <c r="AS476" s="324"/>
      <c r="AT476" s="325"/>
      <c r="AU476" s="146"/>
      <c r="AV476" s="146"/>
      <c r="AW476" s="326">
        <f>AU476*AV476</f>
        <v>0</v>
      </c>
      <c r="AX476" s="324"/>
      <c r="AY476" s="325"/>
      <c r="AZ476" s="146"/>
      <c r="BA476" s="212">
        <f t="shared" si="18"/>
        <v>0</v>
      </c>
      <c r="BB476" s="9"/>
    </row>
    <row r="477" spans="1:54" hidden="1" x14ac:dyDescent="0.35">
      <c r="A477" s="54"/>
      <c r="B477" s="55" t="s">
        <v>203</v>
      </c>
      <c r="C477" s="42"/>
      <c r="D477" s="199"/>
      <c r="E477" s="197">
        <v>0</v>
      </c>
      <c r="F477" s="177">
        <v>0</v>
      </c>
      <c r="G477" s="177">
        <v>0</v>
      </c>
      <c r="H477" s="42"/>
      <c r="I477" s="199"/>
      <c r="J477" s="197"/>
      <c r="K477" s="198"/>
      <c r="L477" s="146"/>
      <c r="M477" s="178"/>
      <c r="N477" s="199"/>
      <c r="O477" s="197"/>
      <c r="P477" s="146"/>
      <c r="Q477" s="146"/>
      <c r="R477" s="30"/>
      <c r="S477" s="199"/>
      <c r="T477" s="197"/>
      <c r="U477" s="146"/>
      <c r="V477" s="146"/>
      <c r="W477" s="30"/>
      <c r="X477" s="199"/>
      <c r="Y477" s="197"/>
      <c r="Z477" s="146"/>
      <c r="AA477" s="146"/>
      <c r="AB477" s="42"/>
      <c r="AC477" s="46"/>
      <c r="AD477" s="199"/>
      <c r="AE477" s="197"/>
      <c r="AF477" s="198"/>
      <c r="AG477" s="146"/>
      <c r="AH477" s="200"/>
      <c r="AI477" s="199"/>
      <c r="AJ477" s="197"/>
      <c r="AK477" s="146"/>
      <c r="AL477" s="146"/>
      <c r="AM477" s="32"/>
      <c r="AN477" s="199"/>
      <c r="AO477" s="197"/>
      <c r="AP477" s="146"/>
      <c r="AQ477" s="146"/>
      <c r="AR477" s="32"/>
      <c r="AS477" s="199"/>
      <c r="AT477" s="197"/>
      <c r="AU477" s="146"/>
      <c r="AV477" s="146"/>
      <c r="AW477" s="30"/>
      <c r="AX477" s="199"/>
      <c r="AY477" s="197"/>
      <c r="AZ477" s="177"/>
      <c r="BA477" s="212">
        <f t="shared" si="18"/>
        <v>0</v>
      </c>
      <c r="BB477" s="9"/>
    </row>
    <row r="478" spans="1:54" hidden="1" x14ac:dyDescent="0.35">
      <c r="A478" s="54"/>
      <c r="B478" s="55" t="s">
        <v>210</v>
      </c>
      <c r="C478" s="87"/>
      <c r="D478" s="199"/>
      <c r="E478" s="197">
        <v>0</v>
      </c>
      <c r="F478" s="177">
        <v>0</v>
      </c>
      <c r="G478" s="177">
        <v>0</v>
      </c>
      <c r="H478" s="87"/>
      <c r="I478" s="176"/>
      <c r="J478" s="197"/>
      <c r="K478" s="198"/>
      <c r="L478" s="146">
        <v>0</v>
      </c>
      <c r="M478" s="178"/>
      <c r="N478" s="176"/>
      <c r="O478" s="197"/>
      <c r="P478" s="146"/>
      <c r="Q478" s="146">
        <v>0</v>
      </c>
      <c r="R478" s="30"/>
      <c r="S478" s="176"/>
      <c r="T478" s="197"/>
      <c r="U478" s="146"/>
      <c r="V478" s="146">
        <v>0</v>
      </c>
      <c r="W478" s="30"/>
      <c r="X478" s="199"/>
      <c r="Y478" s="197"/>
      <c r="Z478" s="146"/>
      <c r="AA478" s="146"/>
      <c r="AB478" s="87"/>
      <c r="AC478" s="90"/>
      <c r="AD478" s="176"/>
      <c r="AE478" s="197"/>
      <c r="AF478" s="198"/>
      <c r="AG478" s="146"/>
      <c r="AH478" s="200"/>
      <c r="AI478" s="176"/>
      <c r="AJ478" s="197"/>
      <c r="AK478" s="146"/>
      <c r="AL478" s="146"/>
      <c r="AM478" s="32"/>
      <c r="AN478" s="176"/>
      <c r="AO478" s="197"/>
      <c r="AP478" s="146"/>
      <c r="AQ478" s="146"/>
      <c r="AR478" s="32"/>
      <c r="AS478" s="199"/>
      <c r="AT478" s="197"/>
      <c r="AU478" s="146"/>
      <c r="AV478" s="146"/>
      <c r="AW478" s="30"/>
      <c r="AX478" s="199"/>
      <c r="AY478" s="197"/>
      <c r="AZ478" s="177"/>
      <c r="BA478" s="212">
        <f t="shared" si="18"/>
        <v>0</v>
      </c>
      <c r="BB478" s="9"/>
    </row>
    <row r="479" spans="1:54" ht="25" x14ac:dyDescent="0.35">
      <c r="A479" s="54"/>
      <c r="B479" s="55" t="s">
        <v>329</v>
      </c>
      <c r="C479" s="74"/>
      <c r="D479" s="176" t="s">
        <v>330</v>
      </c>
      <c r="E479" s="197">
        <v>0</v>
      </c>
      <c r="F479" s="177">
        <v>1237.8860199677722</v>
      </c>
      <c r="G479" s="177">
        <v>0</v>
      </c>
      <c r="H479" s="74"/>
      <c r="I479" s="176" t="s">
        <v>330</v>
      </c>
      <c r="J479" s="197"/>
      <c r="K479" s="297">
        <v>1237.8860199677722</v>
      </c>
      <c r="L479" s="146">
        <v>0</v>
      </c>
      <c r="M479" s="178"/>
      <c r="N479" s="176"/>
      <c r="O479" s="197"/>
      <c r="P479" s="298"/>
      <c r="Q479" s="146">
        <v>0</v>
      </c>
      <c r="R479" s="30"/>
      <c r="S479" s="176"/>
      <c r="T479" s="197"/>
      <c r="U479" s="298"/>
      <c r="V479" s="146">
        <v>0</v>
      </c>
      <c r="W479" s="30"/>
      <c r="X479" s="176"/>
      <c r="Y479" s="197"/>
      <c r="Z479" s="298"/>
      <c r="AA479" s="146"/>
      <c r="AB479" s="74"/>
      <c r="AC479" s="46"/>
      <c r="AD479" s="176"/>
      <c r="AE479" s="197"/>
      <c r="AF479" s="297"/>
      <c r="AG479" s="146"/>
      <c r="AH479" s="200"/>
      <c r="AI479" s="176"/>
      <c r="AJ479" s="197"/>
      <c r="AK479" s="298"/>
      <c r="AL479" s="146"/>
      <c r="AM479" s="32"/>
      <c r="AN479" s="176"/>
      <c r="AO479" s="197"/>
      <c r="AP479" s="298"/>
      <c r="AQ479" s="146"/>
      <c r="AR479" s="32"/>
      <c r="AS479" s="176"/>
      <c r="AT479" s="197"/>
      <c r="AU479" s="298"/>
      <c r="AV479" s="146"/>
      <c r="AW479" s="30"/>
      <c r="AX479" s="176"/>
      <c r="AY479" s="197"/>
      <c r="AZ479" s="177"/>
      <c r="BA479" s="212">
        <f t="shared" si="18"/>
        <v>0</v>
      </c>
      <c r="BB479" s="9"/>
    </row>
    <row r="480" spans="1:54" x14ac:dyDescent="0.35">
      <c r="A480" s="40"/>
      <c r="B480" s="55" t="s">
        <v>331</v>
      </c>
      <c r="C480" s="87"/>
      <c r="D480" s="176" t="s">
        <v>332</v>
      </c>
      <c r="E480" s="197">
        <v>0</v>
      </c>
      <c r="F480" s="177">
        <v>45.734705171223112</v>
      </c>
      <c r="G480" s="177">
        <v>0</v>
      </c>
      <c r="H480" s="87"/>
      <c r="I480" s="176" t="s">
        <v>70</v>
      </c>
      <c r="J480" s="197"/>
      <c r="K480" s="328">
        <v>45.734705171223112</v>
      </c>
      <c r="L480" s="146">
        <v>0</v>
      </c>
      <c r="M480" s="178"/>
      <c r="N480" s="176"/>
      <c r="O480" s="197"/>
      <c r="P480" s="329"/>
      <c r="Q480" s="177"/>
      <c r="R480" s="30"/>
      <c r="S480" s="176"/>
      <c r="T480" s="197"/>
      <c r="U480" s="329"/>
      <c r="V480" s="177"/>
      <c r="W480" s="30"/>
      <c r="X480" s="176"/>
      <c r="Y480" s="197"/>
      <c r="Z480" s="329"/>
      <c r="AA480" s="177"/>
      <c r="AB480" s="87"/>
      <c r="AC480" s="90"/>
      <c r="AD480" s="176"/>
      <c r="AE480" s="197"/>
      <c r="AF480" s="328"/>
      <c r="AG480" s="146"/>
      <c r="AH480" s="200"/>
      <c r="AI480" s="176"/>
      <c r="AJ480" s="197"/>
      <c r="AK480" s="329"/>
      <c r="AL480" s="177"/>
      <c r="AM480" s="32"/>
      <c r="AN480" s="176"/>
      <c r="AO480" s="197"/>
      <c r="AP480" s="329"/>
      <c r="AQ480" s="177"/>
      <c r="AR480" s="32"/>
      <c r="AS480" s="176"/>
      <c r="AT480" s="197"/>
      <c r="AU480" s="329"/>
      <c r="AV480" s="177"/>
      <c r="AW480" s="30"/>
      <c r="AX480" s="176"/>
      <c r="AY480" s="197"/>
      <c r="AZ480" s="177"/>
      <c r="BA480" s="212">
        <f t="shared" si="18"/>
        <v>0</v>
      </c>
      <c r="BB480" s="9"/>
    </row>
    <row r="481" spans="1:54" ht="29" x14ac:dyDescent="0.35">
      <c r="A481" s="54"/>
      <c r="B481" s="330" t="s">
        <v>333</v>
      </c>
      <c r="C481" s="323" t="s">
        <v>65</v>
      </c>
      <c r="D481" s="214" t="s">
        <v>28</v>
      </c>
      <c r="E481" s="203">
        <v>3232</v>
      </c>
      <c r="F481" s="204">
        <v>11.433676292805778</v>
      </c>
      <c r="G481" s="204">
        <v>36953.641778348276</v>
      </c>
      <c r="H481" s="323"/>
      <c r="I481" s="214" t="s">
        <v>189</v>
      </c>
      <c r="J481" s="282"/>
      <c r="K481" s="283">
        <v>11.433676292805778</v>
      </c>
      <c r="L481" s="206">
        <v>0</v>
      </c>
      <c r="M481" s="207"/>
      <c r="N481" s="214" t="s">
        <v>189</v>
      </c>
      <c r="O481" s="282">
        <v>1616</v>
      </c>
      <c r="P481" s="331">
        <v>11.433676292805778</v>
      </c>
      <c r="Q481" s="206">
        <v>18476.820889174138</v>
      </c>
      <c r="R481" s="194"/>
      <c r="S481" s="214" t="s">
        <v>189</v>
      </c>
      <c r="T481" s="282">
        <v>1616</v>
      </c>
      <c r="U481" s="331">
        <v>11.433676292805778</v>
      </c>
      <c r="V481" s="206">
        <v>18476.820889174138</v>
      </c>
      <c r="W481" s="194"/>
      <c r="X481" s="214"/>
      <c r="Y481" s="282"/>
      <c r="Z481" s="331"/>
      <c r="AA481" s="206"/>
      <c r="AB481" s="323"/>
      <c r="AC481" s="258"/>
      <c r="AD481" s="214"/>
      <c r="AE481" s="282"/>
      <c r="AF481" s="283"/>
      <c r="AG481" s="206"/>
      <c r="AH481" s="209"/>
      <c r="AI481" s="214"/>
      <c r="AJ481" s="282"/>
      <c r="AK481" s="331"/>
      <c r="AL481" s="206"/>
      <c r="AM481" s="196"/>
      <c r="AN481" s="214"/>
      <c r="AO481" s="282"/>
      <c r="AP481" s="331"/>
      <c r="AQ481" s="206"/>
      <c r="AR481" s="196"/>
      <c r="AS481" s="214"/>
      <c r="AT481" s="282"/>
      <c r="AU481" s="331"/>
      <c r="AV481" s="206"/>
      <c r="AW481" s="194"/>
      <c r="AX481" s="214"/>
      <c r="AY481" s="203"/>
      <c r="AZ481" s="204"/>
      <c r="BA481" s="206">
        <f t="shared" si="18"/>
        <v>0</v>
      </c>
      <c r="BB481" s="9"/>
    </row>
    <row r="482" spans="1:54" x14ac:dyDescent="0.35">
      <c r="A482" s="54"/>
      <c r="B482" s="330" t="s">
        <v>334</v>
      </c>
      <c r="C482" s="323" t="s">
        <v>65</v>
      </c>
      <c r="D482" s="214" t="s">
        <v>28</v>
      </c>
      <c r="E482" s="203">
        <v>840</v>
      </c>
      <c r="F482" s="204">
        <v>45.734705171223112</v>
      </c>
      <c r="G482" s="204">
        <v>38417.152343827416</v>
      </c>
      <c r="H482" s="323"/>
      <c r="I482" s="214" t="s">
        <v>28</v>
      </c>
      <c r="J482" s="282"/>
      <c r="K482" s="283">
        <v>45.734705171223112</v>
      </c>
      <c r="L482" s="206">
        <v>0</v>
      </c>
      <c r="M482" s="207"/>
      <c r="N482" s="214" t="s">
        <v>28</v>
      </c>
      <c r="O482" s="282">
        <v>420</v>
      </c>
      <c r="P482" s="331">
        <v>45.734705171223112</v>
      </c>
      <c r="Q482" s="206">
        <v>19208.576171913708</v>
      </c>
      <c r="R482" s="194"/>
      <c r="S482" s="214" t="s">
        <v>28</v>
      </c>
      <c r="T482" s="282">
        <v>420</v>
      </c>
      <c r="U482" s="331">
        <v>45.734705171223112</v>
      </c>
      <c r="V482" s="206">
        <v>19208.576171913708</v>
      </c>
      <c r="W482" s="194"/>
      <c r="X482" s="214"/>
      <c r="Y482" s="282"/>
      <c r="Z482" s="331"/>
      <c r="AA482" s="206"/>
      <c r="AB482" s="323"/>
      <c r="AC482" s="258"/>
      <c r="AD482" s="214"/>
      <c r="AE482" s="282"/>
      <c r="AF482" s="283"/>
      <c r="AG482" s="206"/>
      <c r="AH482" s="209"/>
      <c r="AI482" s="214"/>
      <c r="AJ482" s="282"/>
      <c r="AK482" s="331"/>
      <c r="AL482" s="206"/>
      <c r="AM482" s="196"/>
      <c r="AN482" s="214"/>
      <c r="AO482" s="282"/>
      <c r="AP482" s="331"/>
      <c r="AQ482" s="206"/>
      <c r="AR482" s="196"/>
      <c r="AS482" s="214"/>
      <c r="AT482" s="282"/>
      <c r="AU482" s="331"/>
      <c r="AV482" s="206"/>
      <c r="AW482" s="194"/>
      <c r="AX482" s="214"/>
      <c r="AY482" s="203"/>
      <c r="AZ482" s="204"/>
      <c r="BA482" s="206">
        <f t="shared" si="18"/>
        <v>0</v>
      </c>
      <c r="BB482" s="9"/>
    </row>
    <row r="483" spans="1:54" x14ac:dyDescent="0.35">
      <c r="A483" s="54"/>
      <c r="B483" s="330" t="s">
        <v>335</v>
      </c>
      <c r="C483" s="323" t="s">
        <v>65</v>
      </c>
      <c r="D483" s="214" t="s">
        <v>28</v>
      </c>
      <c r="E483" s="203">
        <v>840</v>
      </c>
      <c r="F483" s="204">
        <v>30.489803447482075</v>
      </c>
      <c r="G483" s="204">
        <v>25611.434895884944</v>
      </c>
      <c r="H483" s="323"/>
      <c r="I483" s="214" t="s">
        <v>28</v>
      </c>
      <c r="J483" s="282"/>
      <c r="K483" s="283">
        <v>30.489803447482075</v>
      </c>
      <c r="L483" s="206">
        <v>0</v>
      </c>
      <c r="M483" s="207"/>
      <c r="N483" s="214" t="s">
        <v>28</v>
      </c>
      <c r="O483" s="282">
        <v>420</v>
      </c>
      <c r="P483" s="331">
        <v>30.489803447482075</v>
      </c>
      <c r="Q483" s="206">
        <v>12805.717447942472</v>
      </c>
      <c r="R483" s="194"/>
      <c r="S483" s="214" t="s">
        <v>28</v>
      </c>
      <c r="T483" s="282">
        <v>420</v>
      </c>
      <c r="U483" s="331">
        <v>30.489803447482075</v>
      </c>
      <c r="V483" s="206">
        <v>12805.717447942472</v>
      </c>
      <c r="W483" s="194"/>
      <c r="X483" s="214"/>
      <c r="Y483" s="282"/>
      <c r="Z483" s="331"/>
      <c r="AA483" s="206"/>
      <c r="AB483" s="323"/>
      <c r="AC483" s="258"/>
      <c r="AD483" s="214"/>
      <c r="AE483" s="282"/>
      <c r="AF483" s="283"/>
      <c r="AG483" s="206"/>
      <c r="AH483" s="209"/>
      <c r="AI483" s="214"/>
      <c r="AJ483" s="282"/>
      <c r="AK483" s="331"/>
      <c r="AL483" s="206"/>
      <c r="AM483" s="196"/>
      <c r="AN483" s="214"/>
      <c r="AO483" s="282"/>
      <c r="AP483" s="331"/>
      <c r="AQ483" s="206"/>
      <c r="AR483" s="196"/>
      <c r="AS483" s="214"/>
      <c r="AT483" s="282"/>
      <c r="AU483" s="331"/>
      <c r="AV483" s="206"/>
      <c r="AW483" s="194"/>
      <c r="AX483" s="214"/>
      <c r="AY483" s="203"/>
      <c r="AZ483" s="204"/>
      <c r="BA483" s="206">
        <f t="shared" si="18"/>
        <v>0</v>
      </c>
      <c r="BB483" s="9"/>
    </row>
    <row r="484" spans="1:54" x14ac:dyDescent="0.35">
      <c r="A484" s="259"/>
      <c r="B484" s="260" t="s">
        <v>336</v>
      </c>
      <c r="C484" s="261"/>
      <c r="D484" s="262"/>
      <c r="E484" s="263"/>
      <c r="F484" s="264"/>
      <c r="G484" s="265">
        <f>SUM(G425:G467)+SUM(G470,G471,G472,G473,G474,G475,G481,G482,G483)</f>
        <v>145187.95136699322</v>
      </c>
      <c r="H484" s="261"/>
      <c r="I484" s="262"/>
      <c r="J484" s="263"/>
      <c r="K484" s="264"/>
      <c r="L484" s="265">
        <f>SUM(L425:L467)+SUM(L470,L471,L472,L473,L474,L475,L481,L482,L483)</f>
        <v>23013.244621252874</v>
      </c>
      <c r="M484" s="30"/>
      <c r="N484" s="262"/>
      <c r="O484" s="263"/>
      <c r="P484" s="264"/>
      <c r="Q484" s="265">
        <f>SUM(Q425:Q467)+SUM(Q470,Q471,Q472,Q473,Q474,Q475,Q481,Q482,Q483)</f>
        <v>59588.277190642992</v>
      </c>
      <c r="R484" s="30"/>
      <c r="S484" s="262"/>
      <c r="T484" s="263"/>
      <c r="U484" s="264"/>
      <c r="V484" s="265">
        <f>SUM(V425:V467)+SUM(V470,V471,V472,V473,V474,V475,V481,V482,V483)</f>
        <v>62586.429555097355</v>
      </c>
      <c r="W484" s="30"/>
      <c r="X484" s="262"/>
      <c r="Y484" s="263"/>
      <c r="Z484" s="264"/>
      <c r="AA484" s="265">
        <f>SUM(AA425:AA467)+SUM(AA470,AA471,AA472,AA473,AA474,AA475,AA481,AA482,AA483)</f>
        <v>0</v>
      </c>
      <c r="AB484" s="261"/>
      <c r="AC484" s="266"/>
      <c r="AD484" s="262"/>
      <c r="AE484" s="263"/>
      <c r="AF484" s="264"/>
      <c r="AG484" s="265">
        <f>SUM(AG425:AG467)+SUM(AG470,AG471,AG472,AG473,AG474,AG475,AG481,AG482,AG483)</f>
        <v>24290.906595892026</v>
      </c>
      <c r="AH484" s="32"/>
      <c r="AI484" s="262"/>
      <c r="AJ484" s="263"/>
      <c r="AK484" s="264"/>
      <c r="AL484" s="265">
        <f>SUM(AL424:AL483)</f>
        <v>0</v>
      </c>
      <c r="AM484" s="32"/>
      <c r="AN484" s="262"/>
      <c r="AO484" s="263"/>
      <c r="AP484" s="264"/>
      <c r="AQ484" s="265">
        <f>SUM(AQ424:AQ483)</f>
        <v>0</v>
      </c>
      <c r="AR484" s="32"/>
      <c r="AS484" s="262"/>
      <c r="AT484" s="263"/>
      <c r="AU484" s="264"/>
      <c r="AV484" s="265">
        <f>SUM(AV424:AV483)</f>
        <v>0</v>
      </c>
      <c r="AW484" s="30"/>
      <c r="AX484" s="262"/>
      <c r="AY484" s="263"/>
      <c r="AZ484" s="264"/>
      <c r="BA484" s="265">
        <f>SUM(BA425:BA467)+SUM(BA470,BA471,BA472,BA473,BA474,BA475,BA481,BA482,BA483)</f>
        <v>24290.906595892026</v>
      </c>
      <c r="BB484" s="9"/>
    </row>
    <row r="485" spans="1:54" x14ac:dyDescent="0.35">
      <c r="A485" s="54"/>
      <c r="B485" s="319"/>
      <c r="C485" s="33"/>
      <c r="D485" s="43"/>
      <c r="E485" s="44"/>
      <c r="F485" s="56"/>
      <c r="G485" s="56"/>
      <c r="H485" s="33"/>
      <c r="I485" s="43"/>
      <c r="J485" s="44"/>
      <c r="K485" s="56"/>
      <c r="L485" s="56"/>
      <c r="M485" s="30"/>
      <c r="N485" s="43"/>
      <c r="O485" s="44"/>
      <c r="P485" s="56"/>
      <c r="Q485" s="56"/>
      <c r="R485" s="30"/>
      <c r="S485" s="43"/>
      <c r="T485" s="44"/>
      <c r="U485" s="56"/>
      <c r="V485" s="56"/>
      <c r="W485" s="30"/>
      <c r="X485" s="43"/>
      <c r="Y485" s="44"/>
      <c r="Z485" s="56"/>
      <c r="AA485" s="56"/>
      <c r="AB485" s="33"/>
      <c r="AC485" s="185"/>
      <c r="AD485" s="43"/>
      <c r="AE485" s="44"/>
      <c r="AF485" s="56"/>
      <c r="AG485" s="56"/>
      <c r="AH485" s="32"/>
      <c r="AI485" s="43"/>
      <c r="AJ485" s="44"/>
      <c r="AK485" s="56"/>
      <c r="AL485" s="56"/>
      <c r="AM485" s="32"/>
      <c r="AN485" s="43"/>
      <c r="AO485" s="44"/>
      <c r="AP485" s="56"/>
      <c r="AQ485" s="56"/>
      <c r="AR485" s="32"/>
      <c r="AS485" s="43"/>
      <c r="AT485" s="44"/>
      <c r="AU485" s="56"/>
      <c r="AV485" s="56"/>
      <c r="AW485" s="30"/>
      <c r="AX485" s="43"/>
      <c r="AY485" s="44"/>
      <c r="AZ485" s="56"/>
      <c r="BA485" s="56"/>
      <c r="BB485" s="9"/>
    </row>
    <row r="486" spans="1:54" x14ac:dyDescent="0.35">
      <c r="A486" s="261"/>
      <c r="B486" s="260" t="s">
        <v>337</v>
      </c>
      <c r="C486" s="261"/>
      <c r="D486" s="262"/>
      <c r="E486" s="263"/>
      <c r="F486" s="332"/>
      <c r="G486" s="333">
        <f>SUM(G253,G420,G484)</f>
        <v>4049569.6933021443</v>
      </c>
      <c r="H486" s="261"/>
      <c r="I486" s="262"/>
      <c r="J486" s="263"/>
      <c r="K486" s="332"/>
      <c r="L486" s="333">
        <f>SUM(L253,L420,L484)</f>
        <v>1548778.77380752</v>
      </c>
      <c r="M486" s="30"/>
      <c r="N486" s="262"/>
      <c r="O486" s="263"/>
      <c r="P486" s="332"/>
      <c r="Q486" s="333">
        <f>SUM(Q253,Q420,Q484)</f>
        <v>1128925.5252726399</v>
      </c>
      <c r="R486" s="30"/>
      <c r="S486" s="262"/>
      <c r="T486" s="263"/>
      <c r="U486" s="332"/>
      <c r="V486" s="333">
        <f>SUM(V253,V420,V484)</f>
        <v>870043.83954909584</v>
      </c>
      <c r="W486" s="30"/>
      <c r="X486" s="262"/>
      <c r="Y486" s="263"/>
      <c r="Z486" s="332"/>
      <c r="AA486" s="333">
        <f>SUM(AA253,AA420,AA484)</f>
        <v>501821.55467288842</v>
      </c>
      <c r="AB486" s="261"/>
      <c r="AC486" s="266"/>
      <c r="AD486" s="262"/>
      <c r="AE486" s="263"/>
      <c r="AF486" s="332"/>
      <c r="AG486" s="333">
        <f>SUM(AG253,AG420,AG484)</f>
        <v>620322.188839162</v>
      </c>
      <c r="AH486" s="32"/>
      <c r="AI486" s="262"/>
      <c r="AJ486" s="263"/>
      <c r="AK486" s="332"/>
      <c r="AL486" s="333">
        <f>AL484+AL420+AL253</f>
        <v>0</v>
      </c>
      <c r="AM486" s="32"/>
      <c r="AN486" s="262"/>
      <c r="AO486" s="263"/>
      <c r="AP486" s="332"/>
      <c r="AQ486" s="333">
        <f>AQ484+AQ420+AQ253</f>
        <v>0</v>
      </c>
      <c r="AR486" s="32"/>
      <c r="AS486" s="262"/>
      <c r="AT486" s="263"/>
      <c r="AU486" s="332"/>
      <c r="AV486" s="333">
        <f>AV484+AV420+AV253</f>
        <v>0</v>
      </c>
      <c r="AW486" s="30"/>
      <c r="AX486" s="262"/>
      <c r="AY486" s="263"/>
      <c r="AZ486" s="332"/>
      <c r="BA486" s="333">
        <f>SUM(BA253,BA420,BA484)</f>
        <v>620322.188839162</v>
      </c>
      <c r="BB486" s="9"/>
    </row>
    <row r="487" spans="1:54" x14ac:dyDescent="0.35">
      <c r="A487" s="54"/>
      <c r="B487" s="319"/>
      <c r="C487" s="33"/>
      <c r="D487" s="43"/>
      <c r="E487" s="44"/>
      <c r="F487" s="56"/>
      <c r="G487" s="56"/>
      <c r="H487" s="33"/>
      <c r="I487" s="43"/>
      <c r="J487" s="44"/>
      <c r="K487" s="56"/>
      <c r="L487" s="56"/>
      <c r="M487" s="30"/>
      <c r="N487" s="43"/>
      <c r="O487" s="44"/>
      <c r="P487" s="56"/>
      <c r="Q487" s="56"/>
      <c r="R487" s="30"/>
      <c r="S487" s="43"/>
      <c r="T487" s="44"/>
      <c r="U487" s="56"/>
      <c r="V487" s="56"/>
      <c r="W487" s="30"/>
      <c r="X487" s="43"/>
      <c r="Y487" s="44"/>
      <c r="Z487" s="56"/>
      <c r="AA487" s="56"/>
      <c r="AB487" s="33"/>
      <c r="AC487" s="185"/>
      <c r="AD487" s="43"/>
      <c r="AE487" s="44"/>
      <c r="AF487" s="56"/>
      <c r="AG487" s="56"/>
      <c r="AH487" s="32"/>
      <c r="AI487" s="43"/>
      <c r="AJ487" s="44"/>
      <c r="AK487" s="56"/>
      <c r="AL487" s="56"/>
      <c r="AM487" s="32"/>
      <c r="AN487" s="43"/>
      <c r="AO487" s="44"/>
      <c r="AP487" s="56"/>
      <c r="AQ487" s="56"/>
      <c r="AR487" s="32"/>
      <c r="AS487" s="43"/>
      <c r="AT487" s="44"/>
      <c r="AU487" s="56"/>
      <c r="AV487" s="56"/>
      <c r="AW487" s="30"/>
      <c r="AX487" s="43"/>
      <c r="AY487" s="44"/>
      <c r="AZ487" s="56"/>
      <c r="BA487" s="56"/>
      <c r="BB487" s="9"/>
    </row>
    <row r="488" spans="1:54" ht="15.75" customHeight="1" x14ac:dyDescent="0.35">
      <c r="A488" s="54"/>
      <c r="B488" s="334" t="s">
        <v>338</v>
      </c>
      <c r="C488" s="106"/>
      <c r="D488" s="111"/>
      <c r="E488" s="112"/>
      <c r="F488" s="136"/>
      <c r="G488" s="118">
        <v>175935.54449269263</v>
      </c>
      <c r="H488" s="106"/>
      <c r="I488" s="111"/>
      <c r="J488" s="112"/>
      <c r="K488" s="136"/>
      <c r="L488" s="118">
        <v>46577.545693208551</v>
      </c>
      <c r="M488" s="30"/>
      <c r="N488" s="111"/>
      <c r="O488" s="112"/>
      <c r="P488" s="136"/>
      <c r="Q488" s="118">
        <v>31878.988800955722</v>
      </c>
      <c r="R488" s="114"/>
      <c r="S488" s="111"/>
      <c r="T488" s="112"/>
      <c r="U488" s="136"/>
      <c r="V488" s="118">
        <v>52595.51823223145</v>
      </c>
      <c r="W488" s="114"/>
      <c r="X488" s="111"/>
      <c r="Y488" s="112"/>
      <c r="Z488" s="136"/>
      <c r="AA488" s="118">
        <v>44883.491766296902</v>
      </c>
      <c r="AB488" s="106"/>
      <c r="AC488" s="115"/>
      <c r="AD488" s="111"/>
      <c r="AE488" s="112"/>
      <c r="AF488" s="136"/>
      <c r="AG488" s="118">
        <f>AG489+AG490</f>
        <v>24739.124521328224</v>
      </c>
      <c r="AH488" s="32"/>
      <c r="AI488" s="111"/>
      <c r="AJ488" s="112"/>
      <c r="AK488" s="136"/>
      <c r="AL488" s="118">
        <f>AL489+AL490</f>
        <v>0</v>
      </c>
      <c r="AM488" s="116"/>
      <c r="AN488" s="111"/>
      <c r="AO488" s="112"/>
      <c r="AP488" s="136"/>
      <c r="AQ488" s="118">
        <f>AQ489+AQ490</f>
        <v>0</v>
      </c>
      <c r="AR488" s="116"/>
      <c r="AS488" s="111"/>
      <c r="AT488" s="112"/>
      <c r="AU488" s="136"/>
      <c r="AV488" s="118">
        <f>AV489+AV490</f>
        <v>0</v>
      </c>
      <c r="AW488" s="114"/>
      <c r="AX488" s="111"/>
      <c r="AY488" s="112"/>
      <c r="AZ488" s="136"/>
      <c r="BA488" s="118">
        <f>BA489+BA490</f>
        <v>24739.124521328224</v>
      </c>
      <c r="BB488" s="9"/>
    </row>
    <row r="489" spans="1:54" x14ac:dyDescent="0.35">
      <c r="A489" s="54"/>
      <c r="B489" s="335" t="s">
        <v>339</v>
      </c>
      <c r="C489" s="106" t="s">
        <v>124</v>
      </c>
      <c r="D489" s="111" t="s">
        <v>28</v>
      </c>
      <c r="E489" s="112">
        <v>18.715131180076479</v>
      </c>
      <c r="F489" s="136">
        <v>7036.8348588043364</v>
      </c>
      <c r="G489" s="123">
        <v>131695.28747505811</v>
      </c>
      <c r="H489" s="106"/>
      <c r="I489" s="111" t="s">
        <v>28</v>
      </c>
      <c r="J489" s="112">
        <v>4.8429430619079774</v>
      </c>
      <c r="K489" s="136">
        <v>6748.1324999999997</v>
      </c>
      <c r="L489" s="123">
        <v>32680.821471710733</v>
      </c>
      <c r="M489" s="30"/>
      <c r="N489" s="111" t="s">
        <v>28</v>
      </c>
      <c r="O489" s="112">
        <v>2.4906884160491849</v>
      </c>
      <c r="P489" s="136">
        <v>6916.8358124999986</v>
      </c>
      <c r="Q489" s="123">
        <v>17227.682833907897</v>
      </c>
      <c r="R489" s="114"/>
      <c r="S489" s="111" t="s">
        <v>28</v>
      </c>
      <c r="T489" s="112">
        <v>5.2051562449917768</v>
      </c>
      <c r="U489" s="136">
        <v>7089.7567078124985</v>
      </c>
      <c r="V489" s="123">
        <v>36903.291403142568</v>
      </c>
      <c r="W489" s="114"/>
      <c r="X489" s="111" t="s">
        <v>28</v>
      </c>
      <c r="Y489" s="112">
        <v>6.1763434571275395</v>
      </c>
      <c r="Z489" s="136">
        <v>7267.0006255078106</v>
      </c>
      <c r="AA489" s="123">
        <v>44883.491766296902</v>
      </c>
      <c r="AB489" s="106"/>
      <c r="AC489" s="115">
        <f>[1]Calc!$B$29/[1]Calc!$B$95</f>
        <v>0.30980204428157349</v>
      </c>
      <c r="AD489" s="111"/>
      <c r="AE489" s="112"/>
      <c r="AF489" s="136"/>
      <c r="AG489" s="123">
        <f>AC489*79854.62</f>
        <v>24739.124521328224</v>
      </c>
      <c r="AH489" s="32" t="e">
        <f>[1]Calc!$C$29/[1]Calc!$C$95</f>
        <v>#DIV/0!</v>
      </c>
      <c r="AI489" s="111"/>
      <c r="AJ489" s="112"/>
      <c r="AK489" s="136"/>
      <c r="AL489" s="123"/>
      <c r="AM489" s="116" t="e">
        <f>[1]Calc!$D$29/[1]Calc!$D$95</f>
        <v>#DIV/0!</v>
      </c>
      <c r="AN489" s="111"/>
      <c r="AO489" s="112"/>
      <c r="AP489" s="136"/>
      <c r="AQ489" s="123"/>
      <c r="AR489" s="116" t="e">
        <f>[1]Calc!$E$29/[1]Calc!$E$95</f>
        <v>#DIV/0!</v>
      </c>
      <c r="AS489" s="111"/>
      <c r="AT489" s="112"/>
      <c r="AU489" s="136"/>
      <c r="AV489" s="123"/>
      <c r="AW489" s="114"/>
      <c r="AX489" s="111"/>
      <c r="AY489" s="112"/>
      <c r="AZ489" s="136"/>
      <c r="BA489" s="123">
        <f>AG489+AL489+AQ489+AV489</f>
        <v>24739.124521328224</v>
      </c>
      <c r="BB489" s="9"/>
    </row>
    <row r="490" spans="1:54" x14ac:dyDescent="0.35">
      <c r="A490" s="54"/>
      <c r="B490" s="335" t="s">
        <v>340</v>
      </c>
      <c r="C490" s="106" t="s">
        <v>124</v>
      </c>
      <c r="D490" s="111" t="s">
        <v>28</v>
      </c>
      <c r="E490" s="112">
        <v>7.514738069499062</v>
      </c>
      <c r="F490" s="136">
        <v>5887.1322737378687</v>
      </c>
      <c r="G490" s="123">
        <v>44240.257017634533</v>
      </c>
      <c r="H490" s="106"/>
      <c r="I490" s="111" t="s">
        <v>28</v>
      </c>
      <c r="J490" s="112">
        <v>2.4214715309539887</v>
      </c>
      <c r="K490" s="136">
        <v>5738.958333333333</v>
      </c>
      <c r="L490" s="123">
        <v>13896.724221497818</v>
      </c>
      <c r="M490" s="30"/>
      <c r="N490" s="111" t="s">
        <v>28</v>
      </c>
      <c r="O490" s="112">
        <v>2.4906884160491849</v>
      </c>
      <c r="P490" s="136">
        <v>5882.4322916666661</v>
      </c>
      <c r="Q490" s="123">
        <v>14651.305967047825</v>
      </c>
      <c r="R490" s="114"/>
      <c r="S490" s="111" t="s">
        <v>28</v>
      </c>
      <c r="T490" s="112">
        <v>2.6025781224958884</v>
      </c>
      <c r="U490" s="136">
        <v>6029.4930989583299</v>
      </c>
      <c r="V490" s="123">
        <v>15692.226829088886</v>
      </c>
      <c r="W490" s="114"/>
      <c r="X490" s="111"/>
      <c r="Y490" s="112"/>
      <c r="Z490" s="136"/>
      <c r="AA490" s="123"/>
      <c r="AB490" s="106"/>
      <c r="AC490" s="115">
        <f>[1]Calc!$B$29/[1]Calc!$B$95</f>
        <v>0.30980204428157349</v>
      </c>
      <c r="AD490" s="111"/>
      <c r="AE490" s="112"/>
      <c r="AF490" s="136"/>
      <c r="AG490" s="123">
        <f>AC490*0</f>
        <v>0</v>
      </c>
      <c r="AH490" s="32" t="e">
        <f>[1]Calc!$C$29/[1]Calc!$C$95</f>
        <v>#DIV/0!</v>
      </c>
      <c r="AI490" s="111"/>
      <c r="AJ490" s="112"/>
      <c r="AK490" s="136"/>
      <c r="AL490" s="123"/>
      <c r="AM490" s="116" t="e">
        <f>[1]Calc!$D$29/[1]Calc!$D$95</f>
        <v>#DIV/0!</v>
      </c>
      <c r="AN490" s="111"/>
      <c r="AO490" s="112"/>
      <c r="AP490" s="136"/>
      <c r="AQ490" s="123"/>
      <c r="AR490" s="116" t="e">
        <f>[1]Calc!$E$29/[1]Calc!$E$95</f>
        <v>#DIV/0!</v>
      </c>
      <c r="AS490" s="111"/>
      <c r="AT490" s="112"/>
      <c r="AU490" s="136"/>
      <c r="AV490" s="123"/>
      <c r="AW490" s="114"/>
      <c r="AX490" s="111"/>
      <c r="AY490" s="112"/>
      <c r="AZ490" s="136"/>
      <c r="BA490" s="123">
        <f>AG490+AL490+AQ490+AV490</f>
        <v>0</v>
      </c>
      <c r="BB490" s="9"/>
    </row>
    <row r="491" spans="1:54" x14ac:dyDescent="0.35">
      <c r="A491" s="54"/>
      <c r="B491" s="335"/>
      <c r="C491" s="106"/>
      <c r="D491" s="111"/>
      <c r="E491" s="112"/>
      <c r="F491" s="136"/>
      <c r="G491" s="123"/>
      <c r="H491" s="106"/>
      <c r="I491" s="111"/>
      <c r="J491" s="112"/>
      <c r="K491" s="136"/>
      <c r="L491" s="123"/>
      <c r="M491" s="30"/>
      <c r="N491" s="111"/>
      <c r="O491" s="112"/>
      <c r="P491" s="136"/>
      <c r="Q491" s="123"/>
      <c r="R491" s="114"/>
      <c r="S491" s="111"/>
      <c r="T491" s="112"/>
      <c r="U491" s="136"/>
      <c r="V491" s="123"/>
      <c r="W491" s="114"/>
      <c r="X491" s="111"/>
      <c r="Y491" s="112"/>
      <c r="Z491" s="136"/>
      <c r="AA491" s="123"/>
      <c r="AB491" s="106"/>
      <c r="AC491" s="115"/>
      <c r="AD491" s="111"/>
      <c r="AE491" s="112"/>
      <c r="AF491" s="136"/>
      <c r="AG491" s="123"/>
      <c r="AH491" s="32"/>
      <c r="AI491" s="111"/>
      <c r="AJ491" s="112"/>
      <c r="AK491" s="136"/>
      <c r="AL491" s="123"/>
      <c r="AM491" s="116"/>
      <c r="AN491" s="111"/>
      <c r="AO491" s="112"/>
      <c r="AP491" s="136"/>
      <c r="AQ491" s="123"/>
      <c r="AR491" s="116"/>
      <c r="AS491" s="111"/>
      <c r="AT491" s="112"/>
      <c r="AU491" s="136"/>
      <c r="AV491" s="123"/>
      <c r="AW491" s="114"/>
      <c r="AX491" s="111"/>
      <c r="AY491" s="112"/>
      <c r="AZ491" s="136"/>
      <c r="BA491" s="123"/>
      <c r="BB491" s="9"/>
    </row>
    <row r="492" spans="1:54" x14ac:dyDescent="0.35">
      <c r="A492" s="54"/>
      <c r="B492" s="334" t="s">
        <v>341</v>
      </c>
      <c r="C492" s="106" t="s">
        <v>124</v>
      </c>
      <c r="D492" s="336" t="s">
        <v>189</v>
      </c>
      <c r="E492" s="337">
        <v>1</v>
      </c>
      <c r="F492" s="161">
        <v>15979.350044937235</v>
      </c>
      <c r="G492" s="125">
        <v>15979.350044937235</v>
      </c>
      <c r="H492" s="106"/>
      <c r="I492" s="336" t="s">
        <v>189</v>
      </c>
      <c r="J492" s="337">
        <v>1</v>
      </c>
      <c r="K492" s="161">
        <v>15979.350044937235</v>
      </c>
      <c r="L492" s="125">
        <v>15979.350044937235</v>
      </c>
      <c r="M492" s="98"/>
      <c r="N492" s="336"/>
      <c r="O492" s="337"/>
      <c r="P492" s="161"/>
      <c r="Q492" s="125"/>
      <c r="R492" s="166"/>
      <c r="S492" s="336"/>
      <c r="T492" s="337"/>
      <c r="U492" s="161"/>
      <c r="V492" s="118"/>
      <c r="W492" s="166"/>
      <c r="X492" s="336"/>
      <c r="Y492" s="337"/>
      <c r="Z492" s="161"/>
      <c r="AA492" s="118"/>
      <c r="AB492" s="106"/>
      <c r="AC492" s="338">
        <f>[1]Calc!$F$79/[1]Calc!$F$95</f>
        <v>0.64498550543004074</v>
      </c>
      <c r="AD492" s="336"/>
      <c r="AE492" s="337"/>
      <c r="AF492" s="161"/>
      <c r="AG492" s="125">
        <f>AC492*0</f>
        <v>0</v>
      </c>
      <c r="AH492" s="32"/>
      <c r="AI492" s="336"/>
      <c r="AJ492" s="337"/>
      <c r="AK492" s="161"/>
      <c r="AL492" s="125"/>
      <c r="AM492" s="116"/>
      <c r="AN492" s="336"/>
      <c r="AO492" s="337"/>
      <c r="AP492" s="161"/>
      <c r="AQ492" s="118"/>
      <c r="AR492" s="116"/>
      <c r="AS492" s="336"/>
      <c r="AT492" s="337"/>
      <c r="AU492" s="161"/>
      <c r="AV492" s="118"/>
      <c r="AW492" s="166"/>
      <c r="AX492" s="336"/>
      <c r="AY492" s="337"/>
      <c r="AZ492" s="161"/>
      <c r="BA492" s="125">
        <f>AG492+AL492+AQ492+AV492</f>
        <v>0</v>
      </c>
      <c r="BB492" s="9"/>
    </row>
    <row r="493" spans="1:54" x14ac:dyDescent="0.35">
      <c r="A493" s="54"/>
      <c r="B493" s="339"/>
      <c r="C493" s="106"/>
      <c r="D493" s="111"/>
      <c r="E493" s="112"/>
      <c r="F493" s="136"/>
      <c r="G493" s="340"/>
      <c r="H493" s="106"/>
      <c r="I493" s="111"/>
      <c r="J493" s="112"/>
      <c r="K493" s="136"/>
      <c r="L493" s="340"/>
      <c r="M493" s="30"/>
      <c r="N493" s="111"/>
      <c r="O493" s="112"/>
      <c r="P493" s="136"/>
      <c r="Q493" s="340"/>
      <c r="R493" s="114"/>
      <c r="S493" s="111"/>
      <c r="T493" s="112"/>
      <c r="U493" s="136"/>
      <c r="V493" s="340"/>
      <c r="W493" s="114"/>
      <c r="X493" s="111"/>
      <c r="Y493" s="112"/>
      <c r="Z493" s="136"/>
      <c r="AA493" s="340"/>
      <c r="AB493" s="106"/>
      <c r="AC493" s="115"/>
      <c r="AD493" s="111"/>
      <c r="AE493" s="112"/>
      <c r="AF493" s="136"/>
      <c r="AG493" s="340"/>
      <c r="AH493" s="32"/>
      <c r="AI493" s="111"/>
      <c r="AJ493" s="112"/>
      <c r="AK493" s="136"/>
      <c r="AL493" s="340"/>
      <c r="AM493" s="116"/>
      <c r="AN493" s="111"/>
      <c r="AO493" s="112"/>
      <c r="AP493" s="136"/>
      <c r="AQ493" s="340"/>
      <c r="AR493" s="116"/>
      <c r="AS493" s="111"/>
      <c r="AT493" s="112"/>
      <c r="AU493" s="136"/>
      <c r="AV493" s="340"/>
      <c r="AW493" s="114"/>
      <c r="AX493" s="111"/>
      <c r="AY493" s="112"/>
      <c r="AZ493" s="136"/>
      <c r="BA493" s="340"/>
      <c r="BB493" s="9"/>
    </row>
    <row r="494" spans="1:54" x14ac:dyDescent="0.35">
      <c r="A494" s="54"/>
      <c r="B494" s="334" t="s">
        <v>342</v>
      </c>
      <c r="C494" s="106"/>
      <c r="D494" s="111"/>
      <c r="E494" s="112"/>
      <c r="F494" s="136"/>
      <c r="G494" s="118">
        <v>14771.030460306552</v>
      </c>
      <c r="H494" s="106"/>
      <c r="I494" s="111"/>
      <c r="J494" s="112"/>
      <c r="K494" s="136"/>
      <c r="L494" s="118">
        <v>3665.5025299816007</v>
      </c>
      <c r="M494" s="30"/>
      <c r="N494" s="111"/>
      <c r="O494" s="112"/>
      <c r="P494" s="136"/>
      <c r="Q494" s="118">
        <v>1932.2682897696573</v>
      </c>
      <c r="R494" s="114"/>
      <c r="S494" s="111"/>
      <c r="T494" s="112"/>
      <c r="U494" s="136"/>
      <c r="V494" s="118">
        <v>4139.097547470139</v>
      </c>
      <c r="W494" s="114"/>
      <c r="X494" s="111"/>
      <c r="Y494" s="112"/>
      <c r="Z494" s="136"/>
      <c r="AA494" s="118">
        <v>5034.1620930851568</v>
      </c>
      <c r="AB494" s="106"/>
      <c r="AC494" s="115"/>
      <c r="AD494" s="111"/>
      <c r="AE494" s="112"/>
      <c r="AF494" s="136"/>
      <c r="AG494" s="118">
        <f>SUM(AG495:AG497)</f>
        <v>0</v>
      </c>
      <c r="AH494" s="32"/>
      <c r="AI494" s="111"/>
      <c r="AJ494" s="112"/>
      <c r="AK494" s="136"/>
      <c r="AL494" s="118">
        <f>SUM(AL495:AL497)</f>
        <v>0</v>
      </c>
      <c r="AM494" s="116"/>
      <c r="AN494" s="111"/>
      <c r="AO494" s="112"/>
      <c r="AP494" s="136"/>
      <c r="AQ494" s="118">
        <f>SUM(AQ495:AQ497)</f>
        <v>0</v>
      </c>
      <c r="AR494" s="116"/>
      <c r="AS494" s="111"/>
      <c r="AT494" s="112"/>
      <c r="AU494" s="136"/>
      <c r="AV494" s="118">
        <f>SUM(AV495:AV497)</f>
        <v>0</v>
      </c>
      <c r="AW494" s="114"/>
      <c r="AX494" s="111"/>
      <c r="AY494" s="112"/>
      <c r="AZ494" s="136"/>
      <c r="BA494" s="118">
        <f>SUM(BA495:BA497)</f>
        <v>0</v>
      </c>
      <c r="BB494" s="9"/>
    </row>
    <row r="495" spans="1:54" ht="29" x14ac:dyDescent="0.35">
      <c r="A495" s="54"/>
      <c r="B495" s="126" t="s">
        <v>127</v>
      </c>
      <c r="C495" s="127" t="s">
        <v>124</v>
      </c>
      <c r="D495" s="128" t="s">
        <v>128</v>
      </c>
      <c r="E495" s="112">
        <v>2.3393913975095599</v>
      </c>
      <c r="F495" s="130">
        <v>4152.515625</v>
      </c>
      <c r="G495" s="123">
        <v>9757.9061670068077</v>
      </c>
      <c r="H495" s="127"/>
      <c r="I495" s="128" t="s">
        <v>128</v>
      </c>
      <c r="J495" s="129">
        <v>0.60536788273849718</v>
      </c>
      <c r="K495" s="130">
        <v>4000</v>
      </c>
      <c r="L495" s="123">
        <v>2421.4715309539888</v>
      </c>
      <c r="M495" s="30"/>
      <c r="N495" s="128" t="s">
        <v>128</v>
      </c>
      <c r="O495" s="129">
        <v>0.31133605200614811</v>
      </c>
      <c r="P495" s="130">
        <v>4100</v>
      </c>
      <c r="Q495" s="123">
        <v>1276.4778132252072</v>
      </c>
      <c r="R495" s="114"/>
      <c r="S495" s="128" t="s">
        <v>128</v>
      </c>
      <c r="T495" s="129">
        <v>0.65064453062397209</v>
      </c>
      <c r="U495" s="130">
        <v>4202.5</v>
      </c>
      <c r="V495" s="123">
        <v>2734.3336399472428</v>
      </c>
      <c r="W495" s="114"/>
      <c r="X495" s="128" t="s">
        <v>128</v>
      </c>
      <c r="Y495" s="129">
        <v>0.77204293214094244</v>
      </c>
      <c r="Z495" s="130">
        <v>4307.5625</v>
      </c>
      <c r="AA495" s="123">
        <v>3325.6231828803684</v>
      </c>
      <c r="AB495" s="127"/>
      <c r="AC495" s="115">
        <f>[1]Calc!$B$29/[1]Calc!$B$95</f>
        <v>0.30980204428157349</v>
      </c>
      <c r="AD495" s="128"/>
      <c r="AE495" s="129"/>
      <c r="AF495" s="130"/>
      <c r="AG495" s="123">
        <f>AC495*0</f>
        <v>0</v>
      </c>
      <c r="AH495" s="32" t="e">
        <f>[1]Calc!$C$29/[1]Calc!$C$95</f>
        <v>#DIV/0!</v>
      </c>
      <c r="AI495" s="128"/>
      <c r="AJ495" s="129"/>
      <c r="AK495" s="130"/>
      <c r="AL495" s="123"/>
      <c r="AM495" s="116" t="e">
        <f>[1]Calc!$D$29/[1]Calc!$D$95</f>
        <v>#DIV/0!</v>
      </c>
      <c r="AN495" s="128"/>
      <c r="AO495" s="129"/>
      <c r="AP495" s="130"/>
      <c r="AQ495" s="123"/>
      <c r="AR495" s="116" t="e">
        <f>[1]Calc!$E$29/[1]Calc!$E$95</f>
        <v>#DIV/0!</v>
      </c>
      <c r="AS495" s="128"/>
      <c r="AT495" s="129"/>
      <c r="AU495" s="130"/>
      <c r="AV495" s="123"/>
      <c r="AW495" s="114"/>
      <c r="AX495" s="128"/>
      <c r="AY495" s="112"/>
      <c r="AZ495" s="130"/>
      <c r="BA495" s="123">
        <f>AG495+AL495+AQ495+AV495</f>
        <v>0</v>
      </c>
      <c r="BB495" s="9"/>
    </row>
    <row r="496" spans="1:54" x14ac:dyDescent="0.35">
      <c r="A496" s="54"/>
      <c r="B496" s="131" t="s">
        <v>129</v>
      </c>
      <c r="C496" s="132" t="s">
        <v>124</v>
      </c>
      <c r="D496" s="128" t="s">
        <v>130</v>
      </c>
      <c r="E496" s="112">
        <v>7.0181741925286794</v>
      </c>
      <c r="F496" s="130">
        <v>88.240957031249991</v>
      </c>
      <c r="G496" s="123">
        <v>622.06651814668385</v>
      </c>
      <c r="H496" s="132"/>
      <c r="I496" s="128" t="s">
        <v>130</v>
      </c>
      <c r="J496" s="129">
        <v>1.8161036482154913</v>
      </c>
      <c r="K496" s="130">
        <v>85</v>
      </c>
      <c r="L496" s="123">
        <v>154.36881009831677</v>
      </c>
      <c r="M496" s="30"/>
      <c r="N496" s="128" t="s">
        <v>130</v>
      </c>
      <c r="O496" s="129">
        <v>0.93400815601844434</v>
      </c>
      <c r="P496" s="130">
        <v>87.125</v>
      </c>
      <c r="Q496" s="123">
        <v>81.375460593106965</v>
      </c>
      <c r="R496" s="114"/>
      <c r="S496" s="128" t="s">
        <v>130</v>
      </c>
      <c r="T496" s="129">
        <v>1.9519335918719163</v>
      </c>
      <c r="U496" s="130">
        <v>89.30312499999998</v>
      </c>
      <c r="V496" s="123">
        <v>174.31376954663668</v>
      </c>
      <c r="W496" s="114"/>
      <c r="X496" s="128" t="s">
        <v>130</v>
      </c>
      <c r="Y496" s="129">
        <v>2.3161287964228272</v>
      </c>
      <c r="Z496" s="130">
        <v>91.535703124999984</v>
      </c>
      <c r="AA496" s="123">
        <v>212.00847790862343</v>
      </c>
      <c r="AB496" s="132"/>
      <c r="AC496" s="115">
        <f>[1]Calc!$B$29/[1]Calc!$B$95</f>
        <v>0.30980204428157349</v>
      </c>
      <c r="AD496" s="128"/>
      <c r="AE496" s="129"/>
      <c r="AF496" s="130"/>
      <c r="AG496" s="123">
        <f>AC496*0</f>
        <v>0</v>
      </c>
      <c r="AH496" s="32" t="e">
        <f>[1]Calc!$C$29/[1]Calc!$C$95</f>
        <v>#DIV/0!</v>
      </c>
      <c r="AI496" s="128"/>
      <c r="AJ496" s="129"/>
      <c r="AK496" s="130"/>
      <c r="AL496" s="123"/>
      <c r="AM496" s="116" t="e">
        <f>[1]Calc!$D$29/[1]Calc!$D$95</f>
        <v>#DIV/0!</v>
      </c>
      <c r="AN496" s="128"/>
      <c r="AO496" s="129"/>
      <c r="AP496" s="130"/>
      <c r="AQ496" s="123"/>
      <c r="AR496" s="116" t="e">
        <f>[1]Calc!$E$29/[1]Calc!$E$95</f>
        <v>#DIV/0!</v>
      </c>
      <c r="AS496" s="128"/>
      <c r="AT496" s="129"/>
      <c r="AU496" s="130"/>
      <c r="AV496" s="123"/>
      <c r="AW496" s="114"/>
      <c r="AX496" s="128"/>
      <c r="AY496" s="112"/>
      <c r="AZ496" s="130"/>
      <c r="BA496" s="123">
        <f>AG496+AL496+AQ496+AV496</f>
        <v>0</v>
      </c>
      <c r="BB496" s="9"/>
    </row>
    <row r="497" spans="1:54" x14ac:dyDescent="0.35">
      <c r="A497" s="54"/>
      <c r="B497" s="131" t="s">
        <v>131</v>
      </c>
      <c r="C497" s="132" t="s">
        <v>124</v>
      </c>
      <c r="D497" s="128" t="s">
        <v>132</v>
      </c>
      <c r="E497" s="112">
        <v>35.090870962643393</v>
      </c>
      <c r="F497" s="130">
        <v>124.57546874999998</v>
      </c>
      <c r="G497" s="123">
        <v>4391.0577751530618</v>
      </c>
      <c r="H497" s="132"/>
      <c r="I497" s="128" t="s">
        <v>132</v>
      </c>
      <c r="J497" s="129">
        <v>9.0805182410774581</v>
      </c>
      <c r="K497" s="130">
        <v>120</v>
      </c>
      <c r="L497" s="123">
        <v>1089.6621889292949</v>
      </c>
      <c r="M497" s="30"/>
      <c r="N497" s="128" t="s">
        <v>132</v>
      </c>
      <c r="O497" s="129">
        <v>4.6700407800922221</v>
      </c>
      <c r="P497" s="130">
        <v>122.99999999999999</v>
      </c>
      <c r="Q497" s="123">
        <v>574.41501595134321</v>
      </c>
      <c r="R497" s="114"/>
      <c r="S497" s="128" t="s">
        <v>132</v>
      </c>
      <c r="T497" s="129">
        <v>9.7596679593595823</v>
      </c>
      <c r="U497" s="130">
        <v>126.07499999999997</v>
      </c>
      <c r="V497" s="123">
        <v>1230.4501379762592</v>
      </c>
      <c r="W497" s="114"/>
      <c r="X497" s="128" t="s">
        <v>132</v>
      </c>
      <c r="Y497" s="129">
        <v>11.580643982114136</v>
      </c>
      <c r="Z497" s="130">
        <v>129.22687499999995</v>
      </c>
      <c r="AA497" s="123">
        <v>1496.5304322961651</v>
      </c>
      <c r="AB497" s="132"/>
      <c r="AC497" s="115">
        <f>[1]Calc!$B$29/[1]Calc!$B$95</f>
        <v>0.30980204428157349</v>
      </c>
      <c r="AD497" s="128"/>
      <c r="AE497" s="129"/>
      <c r="AF497" s="130"/>
      <c r="AG497" s="123">
        <f>AC497*0</f>
        <v>0</v>
      </c>
      <c r="AH497" s="32" t="e">
        <f>[1]Calc!$C$29/[1]Calc!$C$95</f>
        <v>#DIV/0!</v>
      </c>
      <c r="AI497" s="128"/>
      <c r="AJ497" s="129"/>
      <c r="AK497" s="130"/>
      <c r="AL497" s="123"/>
      <c r="AM497" s="116" t="e">
        <f>[1]Calc!$D$29/[1]Calc!$D$95</f>
        <v>#DIV/0!</v>
      </c>
      <c r="AN497" s="128"/>
      <c r="AO497" s="129"/>
      <c r="AP497" s="130"/>
      <c r="AQ497" s="123"/>
      <c r="AR497" s="116" t="e">
        <f>[1]Calc!$E$29/[1]Calc!$E$95</f>
        <v>#DIV/0!</v>
      </c>
      <c r="AS497" s="128"/>
      <c r="AT497" s="129"/>
      <c r="AU497" s="130"/>
      <c r="AV497" s="123"/>
      <c r="AW497" s="114"/>
      <c r="AX497" s="128"/>
      <c r="AY497" s="112"/>
      <c r="AZ497" s="130"/>
      <c r="BA497" s="123">
        <f>AG497+AL497+AQ497+AV497</f>
        <v>0</v>
      </c>
      <c r="BB497" s="9"/>
    </row>
    <row r="498" spans="1:54" x14ac:dyDescent="0.35">
      <c r="A498" s="54"/>
      <c r="B498" s="341"/>
      <c r="C498" s="74"/>
      <c r="D498" s="75"/>
      <c r="E498" s="76"/>
      <c r="F498" s="56"/>
      <c r="G498" s="56"/>
      <c r="H498" s="74"/>
      <c r="I498" s="75"/>
      <c r="J498" s="76"/>
      <c r="K498" s="56"/>
      <c r="L498" s="56"/>
      <c r="M498" s="30"/>
      <c r="N498" s="75"/>
      <c r="O498" s="76"/>
      <c r="P498" s="56"/>
      <c r="Q498" s="56"/>
      <c r="R498" s="30"/>
      <c r="S498" s="75"/>
      <c r="T498" s="76"/>
      <c r="U498" s="56"/>
      <c r="V498" s="56"/>
      <c r="W498" s="30"/>
      <c r="X498" s="75"/>
      <c r="Y498" s="76"/>
      <c r="Z498" s="56"/>
      <c r="AA498" s="56"/>
      <c r="AB498" s="74"/>
      <c r="AC498" s="46"/>
      <c r="AD498" s="75"/>
      <c r="AE498" s="76"/>
      <c r="AF498" s="56"/>
      <c r="AG498" s="56"/>
      <c r="AH498" s="32"/>
      <c r="AI498" s="75"/>
      <c r="AJ498" s="76"/>
      <c r="AK498" s="56"/>
      <c r="AL498" s="56"/>
      <c r="AM498" s="32"/>
      <c r="AN498" s="75"/>
      <c r="AO498" s="76"/>
      <c r="AP498" s="56"/>
      <c r="AQ498" s="56"/>
      <c r="AR498" s="32"/>
      <c r="AS498" s="75"/>
      <c r="AT498" s="76"/>
      <c r="AU498" s="56"/>
      <c r="AV498" s="56"/>
      <c r="AW498" s="30"/>
      <c r="AX498" s="75"/>
      <c r="AY498" s="76"/>
      <c r="AZ498" s="56"/>
      <c r="BA498" s="56"/>
      <c r="BB498" s="9"/>
    </row>
    <row r="499" spans="1:54" x14ac:dyDescent="0.35">
      <c r="A499" s="54"/>
      <c r="B499" s="260" t="s">
        <v>343</v>
      </c>
      <c r="C499" s="261"/>
      <c r="D499" s="262"/>
      <c r="E499" s="263"/>
      <c r="F499" s="332"/>
      <c r="G499" s="333">
        <f>G486+G488+G492+G494</f>
        <v>4256255.6183000803</v>
      </c>
      <c r="H499" s="261"/>
      <c r="I499" s="262"/>
      <c r="J499" s="263"/>
      <c r="K499" s="332"/>
      <c r="L499" s="333">
        <f>L486+L488+L492+L494</f>
        <v>1615001.1720756474</v>
      </c>
      <c r="M499" s="30"/>
      <c r="N499" s="262"/>
      <c r="O499" s="263"/>
      <c r="P499" s="332"/>
      <c r="Q499" s="333">
        <f>Q486+Q488+Q492+Q494</f>
        <v>1162736.7823633654</v>
      </c>
      <c r="R499" s="30"/>
      <c r="S499" s="262"/>
      <c r="T499" s="263"/>
      <c r="U499" s="332"/>
      <c r="V499" s="333">
        <f>V486+V488+V492+V494</f>
        <v>926778.45532879746</v>
      </c>
      <c r="W499" s="30"/>
      <c r="X499" s="262"/>
      <c r="Y499" s="263"/>
      <c r="Z499" s="332"/>
      <c r="AA499" s="333">
        <f>AA486+AA488+AA492+AA494</f>
        <v>551739.20853227039</v>
      </c>
      <c r="AB499" s="261"/>
      <c r="AC499" s="266"/>
      <c r="AD499" s="262"/>
      <c r="AE499" s="263"/>
      <c r="AF499" s="332"/>
      <c r="AG499" s="333">
        <f>AG486+AG488+AG492+AG494</f>
        <v>645061.31336049025</v>
      </c>
      <c r="AH499" s="32"/>
      <c r="AI499" s="262"/>
      <c r="AJ499" s="263"/>
      <c r="AK499" s="332"/>
      <c r="AL499" s="333">
        <f>AL486+AL488+AL492+AL494</f>
        <v>0</v>
      </c>
      <c r="AM499" s="32"/>
      <c r="AN499" s="262"/>
      <c r="AO499" s="263"/>
      <c r="AP499" s="332"/>
      <c r="AQ499" s="333">
        <f>AQ486+AQ488+AQ492+AQ494</f>
        <v>0</v>
      </c>
      <c r="AR499" s="32"/>
      <c r="AS499" s="262"/>
      <c r="AT499" s="263"/>
      <c r="AU499" s="332"/>
      <c r="AV499" s="333">
        <f>AV486+AV488+AV492+AV494</f>
        <v>0</v>
      </c>
      <c r="AW499" s="30"/>
      <c r="AX499" s="262"/>
      <c r="AY499" s="263"/>
      <c r="AZ499" s="332"/>
      <c r="BA499" s="333">
        <f>BA486+BA488+BA492+BA494</f>
        <v>645061.31336049025</v>
      </c>
      <c r="BB499" s="9"/>
    </row>
    <row r="500" spans="1:54" x14ac:dyDescent="0.35">
      <c r="A500" s="54"/>
      <c r="B500" s="319"/>
      <c r="C500" s="33"/>
      <c r="D500" s="43"/>
      <c r="E500" s="44"/>
      <c r="F500" s="56"/>
      <c r="G500" s="56"/>
      <c r="H500" s="33"/>
      <c r="I500" s="43"/>
      <c r="J500" s="44"/>
      <c r="K500" s="56"/>
      <c r="L500" s="56"/>
      <c r="M500" s="30"/>
      <c r="N500" s="43"/>
      <c r="O500" s="44"/>
      <c r="P500" s="56"/>
      <c r="Q500" s="56"/>
      <c r="R500" s="30"/>
      <c r="S500" s="43"/>
      <c r="T500" s="44"/>
      <c r="U500" s="56"/>
      <c r="V500" s="56"/>
      <c r="W500" s="30"/>
      <c r="X500" s="43"/>
      <c r="Y500" s="44"/>
      <c r="Z500" s="56"/>
      <c r="AA500" s="56"/>
      <c r="AB500" s="33"/>
      <c r="AC500" s="185"/>
      <c r="AD500" s="43"/>
      <c r="AE500" s="44"/>
      <c r="AF500" s="56"/>
      <c r="AG500" s="56"/>
      <c r="AH500" s="32"/>
      <c r="AI500" s="43"/>
      <c r="AJ500" s="44"/>
      <c r="AK500" s="56"/>
      <c r="AL500" s="56"/>
      <c r="AM500" s="32"/>
      <c r="AN500" s="43"/>
      <c r="AO500" s="44"/>
      <c r="AP500" s="56"/>
      <c r="AQ500" s="56"/>
      <c r="AR500" s="32"/>
      <c r="AS500" s="43"/>
      <c r="AT500" s="44"/>
      <c r="AU500" s="56"/>
      <c r="AV500" s="56"/>
      <c r="AW500" s="30"/>
      <c r="AX500" s="43"/>
      <c r="AY500" s="44"/>
      <c r="AZ500" s="56"/>
      <c r="BA500" s="56"/>
      <c r="BB500" s="9"/>
    </row>
    <row r="501" spans="1:54" ht="29" x14ac:dyDescent="0.35">
      <c r="A501" s="168" t="s">
        <v>344</v>
      </c>
      <c r="B501" s="64" t="s">
        <v>345</v>
      </c>
      <c r="C501" s="65"/>
      <c r="D501" s="66"/>
      <c r="E501" s="67"/>
      <c r="F501" s="68"/>
      <c r="G501" s="68"/>
      <c r="H501" s="65"/>
      <c r="I501" s="66"/>
      <c r="J501" s="67"/>
      <c r="K501" s="68"/>
      <c r="L501" s="68"/>
      <c r="M501" s="30"/>
      <c r="N501" s="66"/>
      <c r="O501" s="67"/>
      <c r="P501" s="68"/>
      <c r="Q501" s="68"/>
      <c r="R501" s="30"/>
      <c r="S501" s="66"/>
      <c r="T501" s="67"/>
      <c r="U501" s="68"/>
      <c r="V501" s="68"/>
      <c r="W501" s="30"/>
      <c r="X501" s="66"/>
      <c r="Y501" s="67"/>
      <c r="Z501" s="68"/>
      <c r="AA501" s="68"/>
      <c r="AB501" s="65"/>
      <c r="AC501" s="70"/>
      <c r="AD501" s="66"/>
      <c r="AE501" s="67"/>
      <c r="AF501" s="68"/>
      <c r="AG501" s="68"/>
      <c r="AH501" s="32"/>
      <c r="AI501" s="66"/>
      <c r="AJ501" s="67"/>
      <c r="AK501" s="68"/>
      <c r="AL501" s="68"/>
      <c r="AM501" s="32"/>
      <c r="AN501" s="66"/>
      <c r="AO501" s="67"/>
      <c r="AP501" s="68"/>
      <c r="AQ501" s="68"/>
      <c r="AR501" s="32"/>
      <c r="AS501" s="66"/>
      <c r="AT501" s="67"/>
      <c r="AU501" s="68"/>
      <c r="AV501" s="68"/>
      <c r="AW501" s="30"/>
      <c r="AX501" s="66"/>
      <c r="AY501" s="67"/>
      <c r="AZ501" s="68"/>
      <c r="BA501" s="68"/>
      <c r="BB501" s="9"/>
    </row>
    <row r="502" spans="1:54" x14ac:dyDescent="0.35">
      <c r="A502" s="169"/>
      <c r="B502" s="170"/>
      <c r="C502" s="171"/>
      <c r="D502" s="75"/>
      <c r="E502" s="76"/>
      <c r="F502" s="56"/>
      <c r="G502" s="56"/>
      <c r="H502" s="171"/>
      <c r="I502" s="75"/>
      <c r="J502" s="76"/>
      <c r="K502" s="56"/>
      <c r="L502" s="56"/>
      <c r="M502" s="30"/>
      <c r="N502" s="75"/>
      <c r="O502" s="76"/>
      <c r="P502" s="56"/>
      <c r="Q502" s="56"/>
      <c r="R502" s="30"/>
      <c r="S502" s="75"/>
      <c r="T502" s="76"/>
      <c r="U502" s="56"/>
      <c r="V502" s="56"/>
      <c r="W502" s="30"/>
      <c r="X502" s="75"/>
      <c r="Y502" s="76"/>
      <c r="Z502" s="56"/>
      <c r="AA502" s="56"/>
      <c r="AB502" s="171"/>
      <c r="AC502" s="172"/>
      <c r="AD502" s="75"/>
      <c r="AE502" s="76"/>
      <c r="AF502" s="56"/>
      <c r="AG502" s="56"/>
      <c r="AH502" s="32"/>
      <c r="AI502" s="75"/>
      <c r="AJ502" s="76"/>
      <c r="AK502" s="56"/>
      <c r="AL502" s="56"/>
      <c r="AM502" s="32"/>
      <c r="AN502" s="75"/>
      <c r="AO502" s="76"/>
      <c r="AP502" s="56"/>
      <c r="AQ502" s="56"/>
      <c r="AR502" s="32"/>
      <c r="AS502" s="75"/>
      <c r="AT502" s="76"/>
      <c r="AU502" s="56"/>
      <c r="AV502" s="56"/>
      <c r="AW502" s="30"/>
      <c r="AX502" s="75"/>
      <c r="AY502" s="76"/>
      <c r="AZ502" s="56"/>
      <c r="BA502" s="56"/>
      <c r="BB502" s="9"/>
    </row>
    <row r="503" spans="1:54" x14ac:dyDescent="0.35">
      <c r="A503" s="57" t="s">
        <v>346</v>
      </c>
      <c r="B503" s="58" t="s">
        <v>347</v>
      </c>
      <c r="C503" s="59"/>
      <c r="D503" s="60"/>
      <c r="E503" s="61"/>
      <c r="F503" s="62"/>
      <c r="G503" s="62"/>
      <c r="H503" s="59"/>
      <c r="I503" s="60"/>
      <c r="J503" s="61"/>
      <c r="K503" s="62"/>
      <c r="L503" s="62"/>
      <c r="M503" s="30"/>
      <c r="N503" s="60"/>
      <c r="O503" s="61"/>
      <c r="P503" s="62"/>
      <c r="Q503" s="62"/>
      <c r="R503" s="30"/>
      <c r="S503" s="60"/>
      <c r="T503" s="61"/>
      <c r="U503" s="62"/>
      <c r="V503" s="62"/>
      <c r="W503" s="30"/>
      <c r="X503" s="60"/>
      <c r="Y503" s="61"/>
      <c r="Z503" s="62"/>
      <c r="AA503" s="62"/>
      <c r="AB503" s="59"/>
      <c r="AC503" s="63"/>
      <c r="AD503" s="60"/>
      <c r="AE503" s="61"/>
      <c r="AF503" s="62"/>
      <c r="AG503" s="62"/>
      <c r="AH503" s="32"/>
      <c r="AI503" s="60"/>
      <c r="AJ503" s="61"/>
      <c r="AK503" s="62"/>
      <c r="AL503" s="62"/>
      <c r="AM503" s="32"/>
      <c r="AN503" s="60"/>
      <c r="AO503" s="61"/>
      <c r="AP503" s="62"/>
      <c r="AQ503" s="62"/>
      <c r="AR503" s="32"/>
      <c r="AS503" s="60"/>
      <c r="AT503" s="61"/>
      <c r="AU503" s="62"/>
      <c r="AV503" s="62"/>
      <c r="AW503" s="30"/>
      <c r="AX503" s="60"/>
      <c r="AY503" s="61"/>
      <c r="AZ503" s="62"/>
      <c r="BA503" s="62"/>
      <c r="BB503" s="9"/>
    </row>
    <row r="504" spans="1:54" x14ac:dyDescent="0.35">
      <c r="A504" s="54"/>
      <c r="B504" s="55"/>
      <c r="C504" s="42"/>
      <c r="D504" s="43"/>
      <c r="E504" s="44"/>
      <c r="F504" s="89"/>
      <c r="G504" s="89"/>
      <c r="H504" s="42"/>
      <c r="I504" s="43"/>
      <c r="J504" s="44"/>
      <c r="K504" s="89"/>
      <c r="L504" s="89"/>
      <c r="M504" s="30"/>
      <c r="N504" s="43"/>
      <c r="O504" s="44"/>
      <c r="P504" s="89"/>
      <c r="Q504" s="89"/>
      <c r="R504" s="30"/>
      <c r="S504" s="43"/>
      <c r="T504" s="44"/>
      <c r="U504" s="89"/>
      <c r="V504" s="89"/>
      <c r="W504" s="30"/>
      <c r="X504" s="43"/>
      <c r="Y504" s="44"/>
      <c r="Z504" s="89"/>
      <c r="AA504" s="89"/>
      <c r="AB504" s="42"/>
      <c r="AC504" s="46"/>
      <c r="AD504" s="43"/>
      <c r="AE504" s="44"/>
      <c r="AF504" s="89"/>
      <c r="AG504" s="89"/>
      <c r="AH504" s="32"/>
      <c r="AI504" s="43"/>
      <c r="AJ504" s="44"/>
      <c r="AK504" s="89"/>
      <c r="AL504" s="89"/>
      <c r="AM504" s="32"/>
      <c r="AN504" s="43"/>
      <c r="AO504" s="44"/>
      <c r="AP504" s="89"/>
      <c r="AQ504" s="89"/>
      <c r="AR504" s="32"/>
      <c r="AS504" s="43"/>
      <c r="AT504" s="44"/>
      <c r="AU504" s="89"/>
      <c r="AV504" s="89"/>
      <c r="AW504" s="30"/>
      <c r="AX504" s="43"/>
      <c r="AY504" s="44"/>
      <c r="AZ504" s="89"/>
      <c r="BA504" s="89"/>
      <c r="BB504" s="9"/>
    </row>
    <row r="505" spans="1:54" x14ac:dyDescent="0.35">
      <c r="A505" s="54"/>
      <c r="B505" s="55" t="s">
        <v>155</v>
      </c>
      <c r="C505" s="74"/>
      <c r="D505" s="75"/>
      <c r="E505" s="44"/>
      <c r="F505" s="80"/>
      <c r="G505" s="45"/>
      <c r="H505" s="74"/>
      <c r="I505" s="75"/>
      <c r="J505" s="44"/>
      <c r="K505" s="80"/>
      <c r="L505" s="45"/>
      <c r="M505" s="30"/>
      <c r="N505" s="75"/>
      <c r="O505" s="44"/>
      <c r="P505" s="80"/>
      <c r="Q505" s="45"/>
      <c r="R505" s="30"/>
      <c r="S505" s="75"/>
      <c r="T505" s="44"/>
      <c r="U505" s="80"/>
      <c r="V505" s="45"/>
      <c r="W505" s="30"/>
      <c r="X505" s="75"/>
      <c r="Y505" s="44"/>
      <c r="Z505" s="80"/>
      <c r="AA505" s="45"/>
      <c r="AB505" s="74"/>
      <c r="AC505" s="46"/>
      <c r="AD505" s="75"/>
      <c r="AE505" s="44"/>
      <c r="AF505" s="80"/>
      <c r="AG505" s="45"/>
      <c r="AH505" s="32"/>
      <c r="AI505" s="75"/>
      <c r="AJ505" s="44"/>
      <c r="AK505" s="80"/>
      <c r="AL505" s="45"/>
      <c r="AM505" s="32"/>
      <c r="AN505" s="75"/>
      <c r="AO505" s="44"/>
      <c r="AP505" s="80"/>
      <c r="AQ505" s="45"/>
      <c r="AR505" s="32"/>
      <c r="AS505" s="75"/>
      <c r="AT505" s="44"/>
      <c r="AU505" s="80"/>
      <c r="AV505" s="45"/>
      <c r="AW505" s="30"/>
      <c r="AX505" s="75"/>
      <c r="AY505" s="44"/>
      <c r="AZ505" s="80"/>
      <c r="BA505" s="45"/>
      <c r="BB505" s="9"/>
    </row>
    <row r="506" spans="1:54" x14ac:dyDescent="0.35">
      <c r="A506" s="54"/>
      <c r="B506" s="86" t="s">
        <v>156</v>
      </c>
      <c r="C506" s="74" t="s">
        <v>27</v>
      </c>
      <c r="D506" s="75" t="s">
        <v>28</v>
      </c>
      <c r="E506" s="44">
        <v>3.4701912644912292</v>
      </c>
      <c r="F506" s="80">
        <v>2320</v>
      </c>
      <c r="G506" s="77">
        <v>8050.8437336196512</v>
      </c>
      <c r="H506" s="74"/>
      <c r="I506" s="75" t="s">
        <v>28</v>
      </c>
      <c r="J506" s="44">
        <v>1.4222717567806569</v>
      </c>
      <c r="K506" s="80">
        <v>2320</v>
      </c>
      <c r="L506" s="77">
        <v>3299.670475731124</v>
      </c>
      <c r="M506" s="30"/>
      <c r="N506" s="75" t="s">
        <v>28</v>
      </c>
      <c r="O506" s="44">
        <v>0.65161939607762065</v>
      </c>
      <c r="P506" s="80">
        <v>2320</v>
      </c>
      <c r="Q506" s="77">
        <v>1511.7569989000799</v>
      </c>
      <c r="R506" s="30"/>
      <c r="S506" s="75" t="s">
        <v>28</v>
      </c>
      <c r="T506" s="44">
        <v>0.69569034315816103</v>
      </c>
      <c r="U506" s="80">
        <v>2320</v>
      </c>
      <c r="V506" s="77">
        <v>1614.0015961269337</v>
      </c>
      <c r="W506" s="30"/>
      <c r="X506" s="75" t="s">
        <v>28</v>
      </c>
      <c r="Y506" s="44">
        <v>0.70060976847479051</v>
      </c>
      <c r="Z506" s="80">
        <v>2320</v>
      </c>
      <c r="AA506" s="77">
        <v>1625.414662861514</v>
      </c>
      <c r="AB506" s="74"/>
      <c r="AC506" s="46">
        <f>[1]Calc!$B$41/[1]Calc!$B$47</f>
        <v>0.26112326356821269</v>
      </c>
      <c r="AD506" s="75"/>
      <c r="AE506" s="44"/>
      <c r="AF506" s="80"/>
      <c r="AG506" s="77">
        <f>AC506*24106.352</f>
        <v>6294.7293069641109</v>
      </c>
      <c r="AH506" s="32" t="e">
        <f>[1]Calc!$C$41/[1]Calc!$C$47</f>
        <v>#DIV/0!</v>
      </c>
      <c r="AI506" s="75"/>
      <c r="AJ506" s="44"/>
      <c r="AK506" s="80"/>
      <c r="AL506" s="77"/>
      <c r="AM506" s="32" t="e">
        <f>[1]Calc!$D$41/[1]Calc!$D$47</f>
        <v>#DIV/0!</v>
      </c>
      <c r="AN506" s="75"/>
      <c r="AO506" s="44"/>
      <c r="AP506" s="80"/>
      <c r="AQ506" s="77"/>
      <c r="AR506" s="32" t="e">
        <f>[1]Calc!$E$41/[1]Calc!$E$47</f>
        <v>#DIV/0!</v>
      </c>
      <c r="AS506" s="75"/>
      <c r="AT506" s="44"/>
      <c r="AU506" s="80"/>
      <c r="AV506" s="77"/>
      <c r="AW506" s="30"/>
      <c r="AX506" s="75"/>
      <c r="AY506" s="44"/>
      <c r="AZ506" s="80"/>
      <c r="BA506" s="77">
        <f t="shared" ref="BA506:BA511" si="19">AG506+AL506+AQ506+AV506</f>
        <v>6294.7293069641109</v>
      </c>
      <c r="BB506" s="9"/>
    </row>
    <row r="507" spans="1:54" x14ac:dyDescent="0.35">
      <c r="A507" s="54"/>
      <c r="B507" s="86" t="s">
        <v>157</v>
      </c>
      <c r="C507" s="74" t="s">
        <v>27</v>
      </c>
      <c r="D507" s="75" t="s">
        <v>28</v>
      </c>
      <c r="E507" s="44">
        <v>8.8131495945743321</v>
      </c>
      <c r="F507" s="80">
        <v>1500</v>
      </c>
      <c r="G507" s="77">
        <v>13219.724391861499</v>
      </c>
      <c r="H507" s="74"/>
      <c r="I507" s="75" t="s">
        <v>28</v>
      </c>
      <c r="J507" s="44">
        <v>2.8445435135613137</v>
      </c>
      <c r="K507" s="80">
        <v>1500</v>
      </c>
      <c r="L507" s="77">
        <v>4266.815270341971</v>
      </c>
      <c r="M507" s="30"/>
      <c r="N507" s="75" t="s">
        <v>28</v>
      </c>
      <c r="O507" s="44">
        <v>1.9548581882328617</v>
      </c>
      <c r="P507" s="80">
        <v>1500</v>
      </c>
      <c r="Q507" s="77">
        <v>2932.2872823492926</v>
      </c>
      <c r="R507" s="30"/>
      <c r="S507" s="75" t="s">
        <v>28</v>
      </c>
      <c r="T507" s="44">
        <v>2.0870710294744832</v>
      </c>
      <c r="U507" s="80">
        <v>1500</v>
      </c>
      <c r="V507" s="77">
        <v>3130.6065442117247</v>
      </c>
      <c r="W507" s="30"/>
      <c r="X507" s="75" t="s">
        <v>28</v>
      </c>
      <c r="Y507" s="44">
        <v>1.9266768633056739</v>
      </c>
      <c r="Z507" s="80">
        <v>1500</v>
      </c>
      <c r="AA507" s="77">
        <v>2890.0152949585108</v>
      </c>
      <c r="AB507" s="74"/>
      <c r="AC507" s="46">
        <f>[1]Calc!$B$41/[1]Calc!$B$47</f>
        <v>0.26112326356821269</v>
      </c>
      <c r="AD507" s="75"/>
      <c r="AE507" s="44"/>
      <c r="AF507" s="80"/>
      <c r="AG507" s="77">
        <f>AC507*21019.326</f>
        <v>5488.6350031241864</v>
      </c>
      <c r="AH507" s="32" t="e">
        <f>[1]Calc!$C$41/[1]Calc!$C$47</f>
        <v>#DIV/0!</v>
      </c>
      <c r="AI507" s="75"/>
      <c r="AJ507" s="44"/>
      <c r="AK507" s="80"/>
      <c r="AL507" s="77"/>
      <c r="AM507" s="32" t="e">
        <f>[1]Calc!$D$41/[1]Calc!$D$47</f>
        <v>#DIV/0!</v>
      </c>
      <c r="AN507" s="75"/>
      <c r="AO507" s="44"/>
      <c r="AP507" s="80"/>
      <c r="AQ507" s="77"/>
      <c r="AR507" s="32" t="e">
        <f>[1]Calc!$E$41/[1]Calc!$E$47</f>
        <v>#DIV/0!</v>
      </c>
      <c r="AS507" s="75"/>
      <c r="AT507" s="44"/>
      <c r="AU507" s="80"/>
      <c r="AV507" s="77"/>
      <c r="AW507" s="30"/>
      <c r="AX507" s="75"/>
      <c r="AY507" s="44"/>
      <c r="AZ507" s="80"/>
      <c r="BA507" s="77">
        <f t="shared" si="19"/>
        <v>5488.6350031241864</v>
      </c>
      <c r="BB507" s="9"/>
    </row>
    <row r="508" spans="1:54" x14ac:dyDescent="0.35">
      <c r="A508" s="54"/>
      <c r="B508" s="86" t="s">
        <v>158</v>
      </c>
      <c r="C508" s="74" t="s">
        <v>27</v>
      </c>
      <c r="D508" s="75" t="s">
        <v>28</v>
      </c>
      <c r="E508" s="44">
        <v>3.1541308740955274</v>
      </c>
      <c r="F508" s="80">
        <v>1920</v>
      </c>
      <c r="G508" s="77">
        <v>6055.9312782634124</v>
      </c>
      <c r="H508" s="74"/>
      <c r="I508" s="75" t="s">
        <v>28</v>
      </c>
      <c r="J508" s="44">
        <v>1.1062113663849551</v>
      </c>
      <c r="K508" s="80">
        <v>1920</v>
      </c>
      <c r="L508" s="77">
        <v>2123.9258234591139</v>
      </c>
      <c r="M508" s="30"/>
      <c r="N508" s="75" t="s">
        <v>28</v>
      </c>
      <c r="O508" s="44">
        <v>0.65161939607762065</v>
      </c>
      <c r="P508" s="80">
        <v>1920</v>
      </c>
      <c r="Q508" s="77">
        <v>1251.1092404690316</v>
      </c>
      <c r="R508" s="30"/>
      <c r="S508" s="75" t="s">
        <v>28</v>
      </c>
      <c r="T508" s="44">
        <v>0.69569034315816103</v>
      </c>
      <c r="U508" s="80">
        <v>1920</v>
      </c>
      <c r="V508" s="77">
        <v>1335.7254588636692</v>
      </c>
      <c r="W508" s="30"/>
      <c r="X508" s="75" t="s">
        <v>28</v>
      </c>
      <c r="Y508" s="44">
        <v>0.70060976847479051</v>
      </c>
      <c r="Z508" s="80">
        <v>1920</v>
      </c>
      <c r="AA508" s="77">
        <v>1345.1707554715977</v>
      </c>
      <c r="AB508" s="74"/>
      <c r="AC508" s="46">
        <f>[1]Calc!$B$41/[1]Calc!$B$47</f>
        <v>0.26112326356821269</v>
      </c>
      <c r="AD508" s="75"/>
      <c r="AE508" s="44"/>
      <c r="AF508" s="80"/>
      <c r="AG508" s="77">
        <f>AC508*3058.706</f>
        <v>798.69929301567356</v>
      </c>
      <c r="AH508" s="32" t="e">
        <f>[1]Calc!$C$41/[1]Calc!$C$47</f>
        <v>#DIV/0!</v>
      </c>
      <c r="AI508" s="75"/>
      <c r="AJ508" s="44"/>
      <c r="AK508" s="80"/>
      <c r="AL508" s="77"/>
      <c r="AM508" s="32" t="e">
        <f>[1]Calc!$D$41/[1]Calc!$D$47</f>
        <v>#DIV/0!</v>
      </c>
      <c r="AN508" s="75"/>
      <c r="AO508" s="44"/>
      <c r="AP508" s="80"/>
      <c r="AQ508" s="77"/>
      <c r="AR508" s="32" t="e">
        <f>[1]Calc!$E$41/[1]Calc!$E$47</f>
        <v>#DIV/0!</v>
      </c>
      <c r="AS508" s="75"/>
      <c r="AT508" s="44"/>
      <c r="AU508" s="80"/>
      <c r="AV508" s="77"/>
      <c r="AW508" s="30"/>
      <c r="AX508" s="75"/>
      <c r="AY508" s="44"/>
      <c r="AZ508" s="80"/>
      <c r="BA508" s="77">
        <f t="shared" si="19"/>
        <v>798.69929301567356</v>
      </c>
      <c r="BB508" s="9"/>
    </row>
    <row r="509" spans="1:54" x14ac:dyDescent="0.35">
      <c r="A509" s="54"/>
      <c r="B509" s="86" t="s">
        <v>159</v>
      </c>
      <c r="C509" s="74" t="s">
        <v>35</v>
      </c>
      <c r="D509" s="75" t="s">
        <v>28</v>
      </c>
      <c r="E509" s="44">
        <v>9.2872401801678848</v>
      </c>
      <c r="F509" s="80">
        <v>609.79606894964149</v>
      </c>
      <c r="G509" s="77">
        <v>5663.3225532575361</v>
      </c>
      <c r="H509" s="74"/>
      <c r="I509" s="75" t="s">
        <v>28</v>
      </c>
      <c r="J509" s="44">
        <v>3.318634099154866</v>
      </c>
      <c r="K509" s="80">
        <v>609.79606894964149</v>
      </c>
      <c r="L509" s="77">
        <v>2023.6900279468721</v>
      </c>
      <c r="M509" s="30"/>
      <c r="N509" s="75" t="s">
        <v>28</v>
      </c>
      <c r="O509" s="44">
        <v>1.9548581882328617</v>
      </c>
      <c r="P509" s="80">
        <v>609.79606894964149</v>
      </c>
      <c r="Q509" s="77">
        <v>1192.0648385384175</v>
      </c>
      <c r="R509" s="30"/>
      <c r="S509" s="75" t="s">
        <v>28</v>
      </c>
      <c r="T509" s="44">
        <v>2.0870710294744832</v>
      </c>
      <c r="U509" s="80">
        <v>609.79606894964149</v>
      </c>
      <c r="V509" s="77">
        <v>1272.6877093922212</v>
      </c>
      <c r="W509" s="30"/>
      <c r="X509" s="75" t="s">
        <v>28</v>
      </c>
      <c r="Y509" s="44">
        <v>1.9266768633056739</v>
      </c>
      <c r="Z509" s="80">
        <v>609.79606894964149</v>
      </c>
      <c r="AA509" s="77">
        <v>1174.8799773800258</v>
      </c>
      <c r="AB509" s="74"/>
      <c r="AC509" s="46">
        <f>[1]Calc!$B$41/[1]Calc!$B$47</f>
        <v>0.26112326356821269</v>
      </c>
      <c r="AD509" s="75"/>
      <c r="AE509" s="44"/>
      <c r="AF509" s="80"/>
      <c r="AG509" s="77">
        <f>AC509*14588.161</f>
        <v>3809.3082097785214</v>
      </c>
      <c r="AH509" s="32" t="e">
        <f>[1]Calc!$C$41/[1]Calc!$C$47</f>
        <v>#DIV/0!</v>
      </c>
      <c r="AI509" s="75"/>
      <c r="AJ509" s="44"/>
      <c r="AK509" s="80"/>
      <c r="AL509" s="77"/>
      <c r="AM509" s="32" t="e">
        <f>[1]Calc!$D$41/[1]Calc!$D$47</f>
        <v>#DIV/0!</v>
      </c>
      <c r="AN509" s="75"/>
      <c r="AO509" s="44"/>
      <c r="AP509" s="80"/>
      <c r="AQ509" s="77"/>
      <c r="AR509" s="32" t="e">
        <f>[1]Calc!$E$41/[1]Calc!$E$47</f>
        <v>#DIV/0!</v>
      </c>
      <c r="AS509" s="75"/>
      <c r="AT509" s="44"/>
      <c r="AU509" s="80"/>
      <c r="AV509" s="77"/>
      <c r="AW509" s="30"/>
      <c r="AX509" s="75"/>
      <c r="AY509" s="44"/>
      <c r="AZ509" s="80"/>
      <c r="BA509" s="77">
        <f t="shared" si="19"/>
        <v>3809.3082097785214</v>
      </c>
      <c r="BB509" s="9"/>
    </row>
    <row r="510" spans="1:54" x14ac:dyDescent="0.35">
      <c r="A510" s="54"/>
      <c r="B510" s="86" t="s">
        <v>160</v>
      </c>
      <c r="C510" s="74" t="s">
        <v>35</v>
      </c>
      <c r="D510" s="75" t="s">
        <v>28</v>
      </c>
      <c r="E510" s="44">
        <v>23.501732252198217</v>
      </c>
      <c r="F510" s="80">
        <v>533.57156033093634</v>
      </c>
      <c r="G510" s="77">
        <v>12539.855948285294</v>
      </c>
      <c r="H510" s="74"/>
      <c r="I510" s="75" t="s">
        <v>28</v>
      </c>
      <c r="J510" s="82">
        <v>7.5854493694968355</v>
      </c>
      <c r="K510" s="83">
        <v>533.57156033093634</v>
      </c>
      <c r="L510" s="77">
        <v>4047.3800558937437</v>
      </c>
      <c r="M510" s="30"/>
      <c r="N510" s="75" t="s">
        <v>28</v>
      </c>
      <c r="O510" s="82">
        <v>5.2129551686209652</v>
      </c>
      <c r="P510" s="83">
        <v>533.57156033093634</v>
      </c>
      <c r="Q510" s="77">
        <v>2781.4846232563077</v>
      </c>
      <c r="R510" s="30"/>
      <c r="S510" s="75" t="s">
        <v>28</v>
      </c>
      <c r="T510" s="82">
        <v>5.5655227452652882</v>
      </c>
      <c r="U510" s="83">
        <v>533.57156033093634</v>
      </c>
      <c r="V510" s="77">
        <v>2969.6046552485163</v>
      </c>
      <c r="W510" s="30"/>
      <c r="X510" s="75" t="s">
        <v>28</v>
      </c>
      <c r="Y510" s="82">
        <v>5.1378049688151304</v>
      </c>
      <c r="Z510" s="83">
        <v>533.57156033093634</v>
      </c>
      <c r="AA510" s="77">
        <v>2741.386613886727</v>
      </c>
      <c r="AB510" s="74"/>
      <c r="AC510" s="46">
        <f>[1]Calc!$B$41/[1]Calc!$B$47</f>
        <v>0.26112326356821269</v>
      </c>
      <c r="AD510" s="75"/>
      <c r="AE510" s="44"/>
      <c r="AF510" s="80"/>
      <c r="AG510" s="77">
        <f>AC510*26052.739</f>
        <v>6802.9762325708543</v>
      </c>
      <c r="AH510" s="32" t="e">
        <f>[1]Calc!$C$41/[1]Calc!$C$47</f>
        <v>#DIV/0!</v>
      </c>
      <c r="AI510" s="75"/>
      <c r="AJ510" s="44"/>
      <c r="AK510" s="80"/>
      <c r="AL510" s="77"/>
      <c r="AM510" s="32" t="e">
        <f>[1]Calc!$D$41/[1]Calc!$D$47</f>
        <v>#DIV/0!</v>
      </c>
      <c r="AN510" s="75"/>
      <c r="AO510" s="44"/>
      <c r="AP510" s="80"/>
      <c r="AQ510" s="77"/>
      <c r="AR510" s="32" t="e">
        <f>[1]Calc!$E$41/[1]Calc!$E$47</f>
        <v>#DIV/0!</v>
      </c>
      <c r="AS510" s="75"/>
      <c r="AT510" s="82"/>
      <c r="AU510" s="83"/>
      <c r="AV510" s="77"/>
      <c r="AW510" s="30"/>
      <c r="AX510" s="75"/>
      <c r="AY510" s="44"/>
      <c r="AZ510" s="80"/>
      <c r="BA510" s="77">
        <f t="shared" si="19"/>
        <v>6802.9762325708543</v>
      </c>
      <c r="BB510" s="9"/>
    </row>
    <row r="511" spans="1:54" x14ac:dyDescent="0.35">
      <c r="A511" s="54"/>
      <c r="B511" s="85" t="s">
        <v>161</v>
      </c>
      <c r="C511" s="74" t="s">
        <v>27</v>
      </c>
      <c r="D511" s="75" t="s">
        <v>28</v>
      </c>
      <c r="E511" s="44">
        <v>2.3008310792161222</v>
      </c>
      <c r="F511" s="80">
        <v>219.99999999999997</v>
      </c>
      <c r="G511" s="77">
        <v>506.18283742754681</v>
      </c>
      <c r="H511" s="74"/>
      <c r="I511" s="75" t="s">
        <v>28</v>
      </c>
      <c r="J511" s="82">
        <v>1.1062113663849551</v>
      </c>
      <c r="K511" s="173">
        <v>220</v>
      </c>
      <c r="L511" s="77">
        <v>243.36650060469012</v>
      </c>
      <c r="M511" s="30"/>
      <c r="N511" s="75" t="s">
        <v>28</v>
      </c>
      <c r="O511" s="82">
        <v>0.38011131437861201</v>
      </c>
      <c r="P511" s="83">
        <v>220</v>
      </c>
      <c r="Q511" s="77">
        <v>83.624489163294641</v>
      </c>
      <c r="R511" s="30"/>
      <c r="S511" s="75" t="s">
        <v>28</v>
      </c>
      <c r="T511" s="82">
        <v>0.40581936684226061</v>
      </c>
      <c r="U511" s="83">
        <v>220</v>
      </c>
      <c r="V511" s="77">
        <v>89.280260705297337</v>
      </c>
      <c r="W511" s="30"/>
      <c r="X511" s="75" t="s">
        <v>28</v>
      </c>
      <c r="Y511" s="82">
        <v>0.40868903161029446</v>
      </c>
      <c r="Z511" s="83">
        <v>220</v>
      </c>
      <c r="AA511" s="77">
        <v>89.911586954264777</v>
      </c>
      <c r="AB511" s="74"/>
      <c r="AC511" s="46">
        <f>[1]Calc!$B$41/[1]Calc!$B$47</f>
        <v>0.26112326356821269</v>
      </c>
      <c r="AD511" s="75"/>
      <c r="AE511" s="44"/>
      <c r="AF511" s="80"/>
      <c r="AG511" s="77">
        <f>AC511*0</f>
        <v>0</v>
      </c>
      <c r="AH511" s="32" t="e">
        <f>[1]Calc!$C$41/[1]Calc!$C$47</f>
        <v>#DIV/0!</v>
      </c>
      <c r="AI511" s="75"/>
      <c r="AJ511" s="44"/>
      <c r="AK511" s="80"/>
      <c r="AL511" s="77"/>
      <c r="AM511" s="32" t="e">
        <f>[1]Calc!$D$41/[1]Calc!$D$47</f>
        <v>#DIV/0!</v>
      </c>
      <c r="AN511" s="75"/>
      <c r="AO511" s="44"/>
      <c r="AP511" s="80"/>
      <c r="AQ511" s="77"/>
      <c r="AR511" s="32" t="e">
        <f>[1]Calc!$E$41/[1]Calc!$E$47</f>
        <v>#DIV/0!</v>
      </c>
      <c r="AS511" s="75"/>
      <c r="AT511" s="82"/>
      <c r="AU511" s="83"/>
      <c r="AV511" s="77"/>
      <c r="AW511" s="30"/>
      <c r="AX511" s="75"/>
      <c r="AY511" s="44"/>
      <c r="AZ511" s="80"/>
      <c r="BA511" s="77">
        <f t="shared" si="19"/>
        <v>0</v>
      </c>
      <c r="BB511" s="9"/>
    </row>
    <row r="512" spans="1:54" x14ac:dyDescent="0.35">
      <c r="A512" s="54"/>
      <c r="B512" s="55"/>
      <c r="C512" s="42"/>
      <c r="D512" s="43"/>
      <c r="E512" s="44"/>
      <c r="F512" s="89"/>
      <c r="G512" s="77"/>
      <c r="H512" s="42"/>
      <c r="I512" s="43"/>
      <c r="J512" s="44"/>
      <c r="K512" s="89"/>
      <c r="L512" s="77"/>
      <c r="M512" s="30"/>
      <c r="N512" s="43"/>
      <c r="O512" s="44"/>
      <c r="P512" s="89"/>
      <c r="Q512" s="77"/>
      <c r="R512" s="30"/>
      <c r="S512" s="43"/>
      <c r="T512" s="44"/>
      <c r="U512" s="89"/>
      <c r="V512" s="77"/>
      <c r="W512" s="30"/>
      <c r="X512" s="43"/>
      <c r="Y512" s="44"/>
      <c r="Z512" s="89"/>
      <c r="AA512" s="77"/>
      <c r="AB512" s="42"/>
      <c r="AC512" s="46"/>
      <c r="AD512" s="75"/>
      <c r="AE512" s="44"/>
      <c r="AF512" s="80"/>
      <c r="AG512" s="77"/>
      <c r="AH512" s="32" t="e">
        <f>[1]Calc!$C$41/[1]Calc!$C$47</f>
        <v>#DIV/0!</v>
      </c>
      <c r="AI512" s="75"/>
      <c r="AJ512" s="44"/>
      <c r="AK512" s="80"/>
      <c r="AL512" s="77"/>
      <c r="AM512" s="32" t="e">
        <f>[1]Calc!$D$41/[1]Calc!$D$47</f>
        <v>#DIV/0!</v>
      </c>
      <c r="AN512" s="75"/>
      <c r="AO512" s="44"/>
      <c r="AP512" s="80"/>
      <c r="AQ512" s="77"/>
      <c r="AR512" s="32" t="e">
        <f>[1]Calc!$E$41/[1]Calc!$E$47</f>
        <v>#DIV/0!</v>
      </c>
      <c r="AS512" s="43"/>
      <c r="AT512" s="44"/>
      <c r="AU512" s="89"/>
      <c r="AV512" s="77"/>
      <c r="AW512" s="30"/>
      <c r="AX512" s="43"/>
      <c r="AY512" s="44"/>
      <c r="AZ512" s="89"/>
      <c r="BA512" s="77"/>
      <c r="BB512" s="9"/>
    </row>
    <row r="513" spans="1:54" x14ac:dyDescent="0.35">
      <c r="A513" s="54"/>
      <c r="B513" s="174" t="s">
        <v>162</v>
      </c>
      <c r="C513" s="175"/>
      <c r="D513" s="43"/>
      <c r="E513" s="44"/>
      <c r="F513" s="45"/>
      <c r="G513" s="77"/>
      <c r="H513" s="175"/>
      <c r="I513" s="43"/>
      <c r="J513" s="44"/>
      <c r="K513" s="45"/>
      <c r="L513" s="77"/>
      <c r="M513" s="30"/>
      <c r="N513" s="43"/>
      <c r="O513" s="44"/>
      <c r="P513" s="45"/>
      <c r="Q513" s="77"/>
      <c r="R513" s="30"/>
      <c r="S513" s="43"/>
      <c r="T513" s="44"/>
      <c r="U513" s="45"/>
      <c r="V513" s="77"/>
      <c r="W513" s="30"/>
      <c r="X513" s="43"/>
      <c r="Y513" s="44"/>
      <c r="Z513" s="45"/>
      <c r="AA513" s="77"/>
      <c r="AB513" s="175"/>
      <c r="AC513" s="46"/>
      <c r="AD513" s="75"/>
      <c r="AE513" s="44"/>
      <c r="AF513" s="80"/>
      <c r="AG513" s="77"/>
      <c r="AH513" s="32" t="e">
        <f>[1]Calc!$C$41/[1]Calc!$C$47</f>
        <v>#DIV/0!</v>
      </c>
      <c r="AI513" s="75"/>
      <c r="AJ513" s="44"/>
      <c r="AK513" s="80"/>
      <c r="AL513" s="77"/>
      <c r="AM513" s="32" t="e">
        <f>[1]Calc!$D$41/[1]Calc!$D$47</f>
        <v>#DIV/0!</v>
      </c>
      <c r="AN513" s="75"/>
      <c r="AO513" s="44"/>
      <c r="AP513" s="80"/>
      <c r="AQ513" s="77"/>
      <c r="AR513" s="32" t="e">
        <f>[1]Calc!$E$41/[1]Calc!$E$47</f>
        <v>#DIV/0!</v>
      </c>
      <c r="AS513" s="43"/>
      <c r="AT513" s="44"/>
      <c r="AU513" s="45"/>
      <c r="AV513" s="77"/>
      <c r="AW513" s="30"/>
      <c r="AX513" s="43"/>
      <c r="AY513" s="44"/>
      <c r="AZ513" s="45"/>
      <c r="BA513" s="77"/>
      <c r="BB513" s="9"/>
    </row>
    <row r="514" spans="1:54" x14ac:dyDescent="0.35">
      <c r="A514" s="54"/>
      <c r="B514" s="86" t="s">
        <v>163</v>
      </c>
      <c r="C514" s="74"/>
      <c r="D514" s="75"/>
      <c r="E514" s="76"/>
      <c r="F514" s="77"/>
      <c r="G514" s="77"/>
      <c r="H514" s="74"/>
      <c r="I514" s="75"/>
      <c r="J514" s="76"/>
      <c r="K514" s="77"/>
      <c r="L514" s="77"/>
      <c r="M514" s="30"/>
      <c r="N514" s="75"/>
      <c r="O514" s="76"/>
      <c r="P514" s="77"/>
      <c r="Q514" s="77"/>
      <c r="R514" s="30"/>
      <c r="S514" s="75"/>
      <c r="T514" s="76"/>
      <c r="U514" s="77"/>
      <c r="V514" s="77"/>
      <c r="W514" s="30"/>
      <c r="X514" s="75"/>
      <c r="Y514" s="76"/>
      <c r="Z514" s="77"/>
      <c r="AA514" s="77"/>
      <c r="AB514" s="74"/>
      <c r="AC514" s="46"/>
      <c r="AD514" s="75"/>
      <c r="AE514" s="44"/>
      <c r="AF514" s="80"/>
      <c r="AG514" s="77"/>
      <c r="AH514" s="32" t="e">
        <f>[1]Calc!$C$41/[1]Calc!$C$47</f>
        <v>#DIV/0!</v>
      </c>
      <c r="AI514" s="75"/>
      <c r="AJ514" s="44"/>
      <c r="AK514" s="80"/>
      <c r="AL514" s="77"/>
      <c r="AM514" s="32" t="e">
        <f>[1]Calc!$D$41/[1]Calc!$D$47</f>
        <v>#DIV/0!</v>
      </c>
      <c r="AN514" s="75"/>
      <c r="AO514" s="44"/>
      <c r="AP514" s="80"/>
      <c r="AQ514" s="77"/>
      <c r="AR514" s="32" t="e">
        <f>[1]Calc!$E$41/[1]Calc!$E$47</f>
        <v>#DIV/0!</v>
      </c>
      <c r="AS514" s="75"/>
      <c r="AT514" s="76"/>
      <c r="AU514" s="77"/>
      <c r="AV514" s="77"/>
      <c r="AW514" s="30"/>
      <c r="AX514" s="75"/>
      <c r="AY514" s="76"/>
      <c r="AZ514" s="77"/>
      <c r="BA514" s="77"/>
      <c r="BB514" s="9"/>
    </row>
    <row r="515" spans="1:54" x14ac:dyDescent="0.35">
      <c r="A515" s="54"/>
      <c r="B515" s="79" t="s">
        <v>164</v>
      </c>
      <c r="C515" s="74" t="s">
        <v>27</v>
      </c>
      <c r="D515" s="75" t="s">
        <v>165</v>
      </c>
      <c r="E515" s="44">
        <v>0.98607046252119523</v>
      </c>
      <c r="F515" s="80">
        <v>396</v>
      </c>
      <c r="G515" s="77">
        <v>390.48390315839333</v>
      </c>
      <c r="H515" s="74"/>
      <c r="I515" s="75" t="s">
        <v>165</v>
      </c>
      <c r="J515" s="76">
        <v>0.47409058559355222</v>
      </c>
      <c r="K515" s="77">
        <v>396</v>
      </c>
      <c r="L515" s="77">
        <v>187.73987189504669</v>
      </c>
      <c r="M515" s="30"/>
      <c r="N515" s="75" t="s">
        <v>165</v>
      </c>
      <c r="O515" s="76">
        <v>0.16290484901940516</v>
      </c>
      <c r="P515" s="77">
        <v>396</v>
      </c>
      <c r="Q515" s="77">
        <v>64.510320211684444</v>
      </c>
      <c r="R515" s="30"/>
      <c r="S515" s="75" t="s">
        <v>165</v>
      </c>
      <c r="T515" s="76">
        <v>0.17392258578954026</v>
      </c>
      <c r="U515" s="77">
        <v>396</v>
      </c>
      <c r="V515" s="77">
        <v>68.873343972657935</v>
      </c>
      <c r="W515" s="30"/>
      <c r="X515" s="75" t="s">
        <v>165</v>
      </c>
      <c r="Y515" s="76">
        <v>0.17515244211869763</v>
      </c>
      <c r="Z515" s="77">
        <v>396</v>
      </c>
      <c r="AA515" s="77">
        <v>69.360367079004263</v>
      </c>
      <c r="AB515" s="74"/>
      <c r="AC515" s="46">
        <f>[1]Calc!$B$41/[1]Calc!$B$47</f>
        <v>0.26112326356821269</v>
      </c>
      <c r="AD515" s="75"/>
      <c r="AE515" s="44"/>
      <c r="AF515" s="80"/>
      <c r="AG515" s="77">
        <f>AC515*1862.561</f>
        <v>486.35800691487378</v>
      </c>
      <c r="AH515" s="32" t="e">
        <f>[1]Calc!$C$41/[1]Calc!$C$47</f>
        <v>#DIV/0!</v>
      </c>
      <c r="AI515" s="75"/>
      <c r="AJ515" s="44"/>
      <c r="AK515" s="80"/>
      <c r="AL515" s="77"/>
      <c r="AM515" s="32" t="e">
        <f>[1]Calc!$D$41/[1]Calc!$D$47</f>
        <v>#DIV/0!</v>
      </c>
      <c r="AN515" s="75"/>
      <c r="AO515" s="44"/>
      <c r="AP515" s="80"/>
      <c r="AQ515" s="77"/>
      <c r="AR515" s="32" t="e">
        <f>[1]Calc!$E$41/[1]Calc!$E$47</f>
        <v>#DIV/0!</v>
      </c>
      <c r="AS515" s="75"/>
      <c r="AT515" s="76"/>
      <c r="AU515" s="77"/>
      <c r="AV515" s="77"/>
      <c r="AW515" s="30"/>
      <c r="AX515" s="75"/>
      <c r="AY515" s="44"/>
      <c r="AZ515" s="80"/>
      <c r="BA515" s="77">
        <f>AG515+AL515+AQ515+AV515</f>
        <v>486.35800691487378</v>
      </c>
      <c r="BB515" s="9"/>
    </row>
    <row r="516" spans="1:54" x14ac:dyDescent="0.35">
      <c r="A516" s="54"/>
      <c r="B516" s="79" t="s">
        <v>166</v>
      </c>
      <c r="C516" s="74" t="s">
        <v>27</v>
      </c>
      <c r="D516" s="75" t="s">
        <v>165</v>
      </c>
      <c r="E516" s="44">
        <v>0.32869015417373176</v>
      </c>
      <c r="F516" s="80">
        <v>610</v>
      </c>
      <c r="G516" s="77">
        <v>200.50099404597637</v>
      </c>
      <c r="H516" s="74"/>
      <c r="I516" s="75" t="s">
        <v>165</v>
      </c>
      <c r="J516" s="76">
        <v>0.15803019519785075</v>
      </c>
      <c r="K516" s="77">
        <v>610</v>
      </c>
      <c r="L516" s="77">
        <v>96.398419070688959</v>
      </c>
      <c r="M516" s="30"/>
      <c r="N516" s="75" t="s">
        <v>165</v>
      </c>
      <c r="O516" s="76">
        <v>5.4301616339801712E-2</v>
      </c>
      <c r="P516" s="77">
        <v>610</v>
      </c>
      <c r="Q516" s="77">
        <v>33.123985967279047</v>
      </c>
      <c r="R516" s="30"/>
      <c r="S516" s="75" t="s">
        <v>165</v>
      </c>
      <c r="T516" s="76">
        <v>5.7974195263180088E-2</v>
      </c>
      <c r="U516" s="77">
        <v>610</v>
      </c>
      <c r="V516" s="77">
        <v>35.364259110539855</v>
      </c>
      <c r="W516" s="30"/>
      <c r="X516" s="75" t="s">
        <v>165</v>
      </c>
      <c r="Y516" s="76">
        <v>5.8384147372899209E-2</v>
      </c>
      <c r="Z516" s="77">
        <v>610</v>
      </c>
      <c r="AA516" s="77">
        <v>35.614329897468515</v>
      </c>
      <c r="AB516" s="74"/>
      <c r="AC516" s="46">
        <f>[1]Calc!$B$41/[1]Calc!$B$47</f>
        <v>0.26112326356821269</v>
      </c>
      <c r="AD516" s="75"/>
      <c r="AE516" s="44"/>
      <c r="AF516" s="80"/>
      <c r="AG516" s="77">
        <f>AC516*0</f>
        <v>0</v>
      </c>
      <c r="AH516" s="32" t="e">
        <f>[1]Calc!$C$41/[1]Calc!$C$47</f>
        <v>#DIV/0!</v>
      </c>
      <c r="AI516" s="75"/>
      <c r="AJ516" s="44"/>
      <c r="AK516" s="80"/>
      <c r="AL516" s="77"/>
      <c r="AM516" s="32" t="e">
        <f>[1]Calc!$D$41/[1]Calc!$D$47</f>
        <v>#DIV/0!</v>
      </c>
      <c r="AN516" s="75"/>
      <c r="AO516" s="44"/>
      <c r="AP516" s="80"/>
      <c r="AQ516" s="77"/>
      <c r="AR516" s="32" t="e">
        <f>[1]Calc!$E$41/[1]Calc!$E$47</f>
        <v>#DIV/0!</v>
      </c>
      <c r="AS516" s="75"/>
      <c r="AT516" s="76"/>
      <c r="AU516" s="77"/>
      <c r="AV516" s="77"/>
      <c r="AW516" s="30"/>
      <c r="AX516" s="75"/>
      <c r="AY516" s="44"/>
      <c r="AZ516" s="80"/>
      <c r="BA516" s="77">
        <f>AG516+AL516+AQ516+AV516</f>
        <v>0</v>
      </c>
      <c r="BB516" s="9"/>
    </row>
    <row r="517" spans="1:54" x14ac:dyDescent="0.35">
      <c r="A517" s="54"/>
      <c r="B517" s="86"/>
      <c r="C517" s="74"/>
      <c r="D517" s="75"/>
      <c r="E517" s="76"/>
      <c r="F517" s="77"/>
      <c r="G517" s="77"/>
      <c r="H517" s="74"/>
      <c r="I517" s="75"/>
      <c r="J517" s="76"/>
      <c r="K517" s="77"/>
      <c r="L517" s="77"/>
      <c r="M517" s="30"/>
      <c r="N517" s="75"/>
      <c r="O517" s="76"/>
      <c r="P517" s="77"/>
      <c r="Q517" s="77"/>
      <c r="R517" s="30"/>
      <c r="S517" s="75"/>
      <c r="T517" s="76"/>
      <c r="U517" s="77"/>
      <c r="V517" s="77"/>
      <c r="W517" s="30"/>
      <c r="X517" s="75"/>
      <c r="Y517" s="76"/>
      <c r="Z517" s="77"/>
      <c r="AA517" s="77"/>
      <c r="AB517" s="74"/>
      <c r="AC517" s="46"/>
      <c r="AD517" s="75"/>
      <c r="AE517" s="44"/>
      <c r="AF517" s="80"/>
      <c r="AG517" s="77"/>
      <c r="AH517" s="32" t="e">
        <f>[1]Calc!$C$41/[1]Calc!$C$47</f>
        <v>#DIV/0!</v>
      </c>
      <c r="AI517" s="75"/>
      <c r="AJ517" s="44"/>
      <c r="AK517" s="80"/>
      <c r="AL517" s="77"/>
      <c r="AM517" s="32" t="e">
        <f>[1]Calc!$D$41/[1]Calc!$D$47</f>
        <v>#DIV/0!</v>
      </c>
      <c r="AN517" s="75"/>
      <c r="AO517" s="44"/>
      <c r="AP517" s="80"/>
      <c r="AQ517" s="77"/>
      <c r="AR517" s="32" t="e">
        <f>[1]Calc!$E$41/[1]Calc!$E$47</f>
        <v>#DIV/0!</v>
      </c>
      <c r="AS517" s="75"/>
      <c r="AT517" s="76"/>
      <c r="AU517" s="77"/>
      <c r="AV517" s="77"/>
      <c r="AW517" s="30"/>
      <c r="AX517" s="75"/>
      <c r="AY517" s="76"/>
      <c r="AZ517" s="77"/>
      <c r="BA517" s="77"/>
      <c r="BB517" s="9"/>
    </row>
    <row r="518" spans="1:54" x14ac:dyDescent="0.35">
      <c r="A518" s="54"/>
      <c r="B518" s="86" t="s">
        <v>167</v>
      </c>
      <c r="C518" s="74"/>
      <c r="D518" s="75"/>
      <c r="E518" s="76"/>
      <c r="F518" s="77"/>
      <c r="G518" s="77"/>
      <c r="H518" s="74"/>
      <c r="I518" s="75"/>
      <c r="J518" s="76"/>
      <c r="K518" s="77"/>
      <c r="L518" s="77"/>
      <c r="M518" s="30"/>
      <c r="N518" s="75"/>
      <c r="O518" s="76"/>
      <c r="P518" s="77"/>
      <c r="Q518" s="77"/>
      <c r="R518" s="30"/>
      <c r="S518" s="75"/>
      <c r="T518" s="76"/>
      <c r="U518" s="77"/>
      <c r="V518" s="77"/>
      <c r="W518" s="30"/>
      <c r="X518" s="75"/>
      <c r="Y518" s="76"/>
      <c r="Z518" s="77"/>
      <c r="AA518" s="77"/>
      <c r="AB518" s="74"/>
      <c r="AC518" s="46"/>
      <c r="AD518" s="75"/>
      <c r="AE518" s="44"/>
      <c r="AF518" s="80"/>
      <c r="AG518" s="77"/>
      <c r="AH518" s="32" t="e">
        <f>[1]Calc!$C$41/[1]Calc!$C$47</f>
        <v>#DIV/0!</v>
      </c>
      <c r="AI518" s="75"/>
      <c r="AJ518" s="44"/>
      <c r="AK518" s="80"/>
      <c r="AL518" s="77"/>
      <c r="AM518" s="32" t="e">
        <f>[1]Calc!$D$41/[1]Calc!$D$47</f>
        <v>#DIV/0!</v>
      </c>
      <c r="AN518" s="75"/>
      <c r="AO518" s="44"/>
      <c r="AP518" s="80"/>
      <c r="AQ518" s="77"/>
      <c r="AR518" s="32" t="e">
        <f>[1]Calc!$E$41/[1]Calc!$E$47</f>
        <v>#DIV/0!</v>
      </c>
      <c r="AS518" s="75"/>
      <c r="AT518" s="76"/>
      <c r="AU518" s="77"/>
      <c r="AV518" s="77"/>
      <c r="AW518" s="30"/>
      <c r="AX518" s="75"/>
      <c r="AY518" s="76"/>
      <c r="AZ518" s="77"/>
      <c r="BA518" s="77"/>
      <c r="BB518" s="9"/>
    </row>
    <row r="519" spans="1:54" x14ac:dyDescent="0.35">
      <c r="A519" s="54"/>
      <c r="B519" s="86" t="s">
        <v>168</v>
      </c>
      <c r="C519" s="74" t="s">
        <v>27</v>
      </c>
      <c r="D519" s="75" t="s">
        <v>103</v>
      </c>
      <c r="E519" s="44">
        <v>3.2869015417373175</v>
      </c>
      <c r="F519" s="80">
        <v>76</v>
      </c>
      <c r="G519" s="77">
        <v>249.80451717203613</v>
      </c>
      <c r="H519" s="74"/>
      <c r="I519" s="75" t="s">
        <v>103</v>
      </c>
      <c r="J519" s="76">
        <v>1.5803019519785075</v>
      </c>
      <c r="K519" s="77">
        <v>76</v>
      </c>
      <c r="L519" s="77">
        <v>120.10294835036657</v>
      </c>
      <c r="M519" s="30"/>
      <c r="N519" s="75" t="s">
        <v>103</v>
      </c>
      <c r="O519" s="76">
        <v>0.54301616339801717</v>
      </c>
      <c r="P519" s="77">
        <v>76</v>
      </c>
      <c r="Q519" s="77">
        <v>41.269228418249305</v>
      </c>
      <c r="R519" s="30"/>
      <c r="S519" s="75" t="s">
        <v>103</v>
      </c>
      <c r="T519" s="76">
        <v>0.57974195263180084</v>
      </c>
      <c r="U519" s="77">
        <v>76</v>
      </c>
      <c r="V519" s="77">
        <v>44.060388400016862</v>
      </c>
      <c r="W519" s="30"/>
      <c r="X519" s="75" t="s">
        <v>103</v>
      </c>
      <c r="Y519" s="76">
        <v>0.58384147372899209</v>
      </c>
      <c r="Z519" s="77">
        <v>76</v>
      </c>
      <c r="AA519" s="77">
        <v>44.371952003403401</v>
      </c>
      <c r="AB519" s="74"/>
      <c r="AC519" s="46">
        <f>[1]Calc!$B$41/[1]Calc!$B$47</f>
        <v>0.26112326356821269</v>
      </c>
      <c r="AD519" s="75"/>
      <c r="AE519" s="44"/>
      <c r="AF519" s="80"/>
      <c r="AG519" s="77">
        <f>AC519*1004.635</f>
        <v>262.33356989485134</v>
      </c>
      <c r="AH519" s="32" t="e">
        <f>[1]Calc!$C$41/[1]Calc!$C$47</f>
        <v>#DIV/0!</v>
      </c>
      <c r="AI519" s="75"/>
      <c r="AJ519" s="44"/>
      <c r="AK519" s="80"/>
      <c r="AL519" s="77"/>
      <c r="AM519" s="32" t="e">
        <f>[1]Calc!$D$41/[1]Calc!$D$47</f>
        <v>#DIV/0!</v>
      </c>
      <c r="AN519" s="75"/>
      <c r="AO519" s="44"/>
      <c r="AP519" s="80"/>
      <c r="AQ519" s="77"/>
      <c r="AR519" s="32" t="e">
        <f>[1]Calc!$E$41/[1]Calc!$E$47</f>
        <v>#DIV/0!</v>
      </c>
      <c r="AS519" s="75"/>
      <c r="AT519" s="76"/>
      <c r="AU519" s="77"/>
      <c r="AV519" s="77"/>
      <c r="AW519" s="30"/>
      <c r="AX519" s="75"/>
      <c r="AY519" s="44"/>
      <c r="AZ519" s="80"/>
      <c r="BA519" s="77">
        <f>AG519+AL519+AQ519+AV519</f>
        <v>262.33356989485134</v>
      </c>
      <c r="BB519" s="9"/>
    </row>
    <row r="520" spans="1:54" x14ac:dyDescent="0.35">
      <c r="A520" s="54"/>
      <c r="B520" s="86" t="s">
        <v>169</v>
      </c>
      <c r="C520" s="74" t="s">
        <v>27</v>
      </c>
      <c r="D520" s="75" t="s">
        <v>103</v>
      </c>
      <c r="E520" s="44">
        <v>2.6295212333898541</v>
      </c>
      <c r="F520" s="80">
        <v>76</v>
      </c>
      <c r="G520" s="77">
        <v>199.84361373762891</v>
      </c>
      <c r="H520" s="74"/>
      <c r="I520" s="75" t="s">
        <v>103</v>
      </c>
      <c r="J520" s="76">
        <v>1.264241561582806</v>
      </c>
      <c r="K520" s="77">
        <v>76</v>
      </c>
      <c r="L520" s="77">
        <v>96.082358680293254</v>
      </c>
      <c r="M520" s="30"/>
      <c r="N520" s="75" t="s">
        <v>103</v>
      </c>
      <c r="O520" s="76">
        <v>0.43441293071841369</v>
      </c>
      <c r="P520" s="77">
        <v>76</v>
      </c>
      <c r="Q520" s="77">
        <v>33.015382734599442</v>
      </c>
      <c r="R520" s="30"/>
      <c r="S520" s="75" t="s">
        <v>103</v>
      </c>
      <c r="T520" s="76">
        <v>0.4637935621054407</v>
      </c>
      <c r="U520" s="77">
        <v>76</v>
      </c>
      <c r="V520" s="77">
        <v>35.248310720013492</v>
      </c>
      <c r="W520" s="30"/>
      <c r="X520" s="75" t="s">
        <v>103</v>
      </c>
      <c r="Y520" s="76">
        <v>0.46707317898319367</v>
      </c>
      <c r="Z520" s="77">
        <v>76</v>
      </c>
      <c r="AA520" s="77">
        <v>35.497561602722719</v>
      </c>
      <c r="AB520" s="74"/>
      <c r="AC520" s="46">
        <f>[1]Calc!$B$41/[1]Calc!$B$47</f>
        <v>0.26112326356821269</v>
      </c>
      <c r="AD520" s="75"/>
      <c r="AE520" s="44"/>
      <c r="AF520" s="80"/>
      <c r="AG520" s="77">
        <f>AC520*1222.923</f>
        <v>319.33364485262939</v>
      </c>
      <c r="AH520" s="32" t="e">
        <f>[1]Calc!$C$41/[1]Calc!$C$47</f>
        <v>#DIV/0!</v>
      </c>
      <c r="AI520" s="75"/>
      <c r="AJ520" s="44"/>
      <c r="AK520" s="80"/>
      <c r="AL520" s="77"/>
      <c r="AM520" s="32" t="e">
        <f>[1]Calc!$D$41/[1]Calc!$D$47</f>
        <v>#DIV/0!</v>
      </c>
      <c r="AN520" s="75"/>
      <c r="AO520" s="44"/>
      <c r="AP520" s="80"/>
      <c r="AQ520" s="77"/>
      <c r="AR520" s="32" t="e">
        <f>[1]Calc!$E$41/[1]Calc!$E$47</f>
        <v>#DIV/0!</v>
      </c>
      <c r="AS520" s="75"/>
      <c r="AT520" s="76"/>
      <c r="AU520" s="77"/>
      <c r="AV520" s="77"/>
      <c r="AW520" s="30"/>
      <c r="AX520" s="75"/>
      <c r="AY520" s="44"/>
      <c r="AZ520" s="80"/>
      <c r="BA520" s="77">
        <f>AG520+AL520+AQ520+AV520</f>
        <v>319.33364485262939</v>
      </c>
      <c r="BB520" s="9"/>
    </row>
    <row r="521" spans="1:54" x14ac:dyDescent="0.35">
      <c r="A521" s="54"/>
      <c r="B521" s="86" t="s">
        <v>170</v>
      </c>
      <c r="C521" s="74" t="s">
        <v>27</v>
      </c>
      <c r="D521" s="75" t="s">
        <v>103</v>
      </c>
      <c r="E521" s="44">
        <v>0.32869015417373176</v>
      </c>
      <c r="F521" s="80">
        <v>152</v>
      </c>
      <c r="G521" s="77">
        <v>49.960903434407228</v>
      </c>
      <c r="H521" s="74"/>
      <c r="I521" s="75" t="s">
        <v>103</v>
      </c>
      <c r="J521" s="76">
        <v>0.15803019519785075</v>
      </c>
      <c r="K521" s="77">
        <v>152</v>
      </c>
      <c r="L521" s="77">
        <v>24.020589670073313</v>
      </c>
      <c r="M521" s="30"/>
      <c r="N521" s="75" t="s">
        <v>103</v>
      </c>
      <c r="O521" s="76">
        <v>5.4301616339801712E-2</v>
      </c>
      <c r="P521" s="77">
        <v>152</v>
      </c>
      <c r="Q521" s="77">
        <v>8.2538456836498604</v>
      </c>
      <c r="R521" s="30"/>
      <c r="S521" s="75" t="s">
        <v>103</v>
      </c>
      <c r="T521" s="76">
        <v>5.7974195263180088E-2</v>
      </c>
      <c r="U521" s="77">
        <v>152</v>
      </c>
      <c r="V521" s="77">
        <v>8.8120776800033731</v>
      </c>
      <c r="W521" s="30"/>
      <c r="X521" s="75" t="s">
        <v>103</v>
      </c>
      <c r="Y521" s="76">
        <v>5.8384147372899209E-2</v>
      </c>
      <c r="Z521" s="77">
        <v>152</v>
      </c>
      <c r="AA521" s="77">
        <v>8.8743904006806797</v>
      </c>
      <c r="AB521" s="74"/>
      <c r="AC521" s="46">
        <f>[1]Calc!$B$41/[1]Calc!$B$47</f>
        <v>0.26112326356821269</v>
      </c>
      <c r="AD521" s="75"/>
      <c r="AE521" s="44"/>
      <c r="AF521" s="80"/>
      <c r="AG521" s="77">
        <f>AC521*0</f>
        <v>0</v>
      </c>
      <c r="AH521" s="32" t="e">
        <f>[1]Calc!$C$41/[1]Calc!$C$47</f>
        <v>#DIV/0!</v>
      </c>
      <c r="AI521" s="75"/>
      <c r="AJ521" s="44"/>
      <c r="AK521" s="80"/>
      <c r="AL521" s="77"/>
      <c r="AM521" s="32" t="e">
        <f>[1]Calc!$D$41/[1]Calc!$D$47</f>
        <v>#DIV/0!</v>
      </c>
      <c r="AN521" s="75"/>
      <c r="AO521" s="44"/>
      <c r="AP521" s="80"/>
      <c r="AQ521" s="77"/>
      <c r="AR521" s="32" t="e">
        <f>[1]Calc!$E$41/[1]Calc!$E$47</f>
        <v>#DIV/0!</v>
      </c>
      <c r="AS521" s="75"/>
      <c r="AT521" s="76"/>
      <c r="AU521" s="77"/>
      <c r="AV521" s="77"/>
      <c r="AW521" s="30"/>
      <c r="AX521" s="75"/>
      <c r="AY521" s="44"/>
      <c r="AZ521" s="80"/>
      <c r="BA521" s="77">
        <f>AG521+AL521+AQ521+AV521</f>
        <v>0</v>
      </c>
      <c r="BB521" s="9"/>
    </row>
    <row r="522" spans="1:54" x14ac:dyDescent="0.35">
      <c r="A522" s="54"/>
      <c r="B522" s="86"/>
      <c r="C522" s="74"/>
      <c r="D522" s="75"/>
      <c r="E522" s="76"/>
      <c r="F522" s="77"/>
      <c r="G522" s="77"/>
      <c r="H522" s="74"/>
      <c r="I522" s="75"/>
      <c r="J522" s="76"/>
      <c r="K522" s="77"/>
      <c r="L522" s="77"/>
      <c r="M522" s="30"/>
      <c r="N522" s="75"/>
      <c r="O522" s="76"/>
      <c r="P522" s="77"/>
      <c r="Q522" s="77"/>
      <c r="R522" s="30"/>
      <c r="S522" s="75"/>
      <c r="T522" s="76"/>
      <c r="U522" s="77"/>
      <c r="V522" s="77"/>
      <c r="W522" s="30"/>
      <c r="X522" s="75"/>
      <c r="Y522" s="76"/>
      <c r="Z522" s="77"/>
      <c r="AA522" s="77"/>
      <c r="AB522" s="74"/>
      <c r="AC522" s="46"/>
      <c r="AD522" s="75"/>
      <c r="AE522" s="44"/>
      <c r="AF522" s="80"/>
      <c r="AG522" s="77"/>
      <c r="AH522" s="32" t="e">
        <f>[1]Calc!$C$41/[1]Calc!$C$47</f>
        <v>#DIV/0!</v>
      </c>
      <c r="AI522" s="75"/>
      <c r="AJ522" s="44"/>
      <c r="AK522" s="80"/>
      <c r="AL522" s="77"/>
      <c r="AM522" s="32" t="e">
        <f>[1]Calc!$D$41/[1]Calc!$D$47</f>
        <v>#DIV/0!</v>
      </c>
      <c r="AN522" s="75"/>
      <c r="AO522" s="44"/>
      <c r="AP522" s="80"/>
      <c r="AQ522" s="77"/>
      <c r="AR522" s="32" t="e">
        <f>[1]Calc!$E$41/[1]Calc!$E$47</f>
        <v>#DIV/0!</v>
      </c>
      <c r="AS522" s="75"/>
      <c r="AT522" s="76"/>
      <c r="AU522" s="77"/>
      <c r="AV522" s="77"/>
      <c r="AW522" s="30"/>
      <c r="AX522" s="75"/>
      <c r="AY522" s="76"/>
      <c r="AZ522" s="77"/>
      <c r="BA522" s="77"/>
      <c r="BB522" s="9"/>
    </row>
    <row r="523" spans="1:54" x14ac:dyDescent="0.35">
      <c r="A523" s="54"/>
      <c r="B523" s="71" t="s">
        <v>171</v>
      </c>
      <c r="C523" s="74"/>
      <c r="D523" s="75"/>
      <c r="E523" s="76"/>
      <c r="F523" s="77"/>
      <c r="G523" s="77"/>
      <c r="H523" s="74"/>
      <c r="I523" s="75"/>
      <c r="J523" s="76"/>
      <c r="K523" s="77"/>
      <c r="L523" s="77"/>
      <c r="M523" s="30"/>
      <c r="N523" s="75"/>
      <c r="O523" s="76"/>
      <c r="P523" s="77"/>
      <c r="Q523" s="77"/>
      <c r="R523" s="30"/>
      <c r="S523" s="75"/>
      <c r="T523" s="76"/>
      <c r="U523" s="77"/>
      <c r="V523" s="77"/>
      <c r="W523" s="30"/>
      <c r="X523" s="75"/>
      <c r="Y523" s="76"/>
      <c r="Z523" s="77"/>
      <c r="AA523" s="77"/>
      <c r="AB523" s="74"/>
      <c r="AC523" s="46"/>
      <c r="AD523" s="75"/>
      <c r="AE523" s="44"/>
      <c r="AF523" s="80"/>
      <c r="AG523" s="77"/>
      <c r="AH523" s="32" t="e">
        <f>[1]Calc!$C$41/[1]Calc!$C$47</f>
        <v>#DIV/0!</v>
      </c>
      <c r="AI523" s="75"/>
      <c r="AJ523" s="44"/>
      <c r="AK523" s="80"/>
      <c r="AL523" s="77"/>
      <c r="AM523" s="32" t="e">
        <f>[1]Calc!$D$41/[1]Calc!$D$47</f>
        <v>#DIV/0!</v>
      </c>
      <c r="AN523" s="75"/>
      <c r="AO523" s="44"/>
      <c r="AP523" s="80"/>
      <c r="AQ523" s="77"/>
      <c r="AR523" s="32" t="e">
        <f>[1]Calc!$E$41/[1]Calc!$E$47</f>
        <v>#DIV/0!</v>
      </c>
      <c r="AS523" s="75"/>
      <c r="AT523" s="76"/>
      <c r="AU523" s="77"/>
      <c r="AV523" s="77"/>
      <c r="AW523" s="30"/>
      <c r="AX523" s="75"/>
      <c r="AY523" s="76"/>
      <c r="AZ523" s="77"/>
      <c r="BA523" s="77"/>
      <c r="BB523" s="9"/>
    </row>
    <row r="524" spans="1:54" x14ac:dyDescent="0.35">
      <c r="A524" s="54"/>
      <c r="B524" s="73" t="s">
        <v>164</v>
      </c>
      <c r="C524" s="74"/>
      <c r="D524" s="75"/>
      <c r="E524" s="76"/>
      <c r="F524" s="77"/>
      <c r="G524" s="77"/>
      <c r="H524" s="74"/>
      <c r="I524" s="75"/>
      <c r="J524" s="76"/>
      <c r="K524" s="77"/>
      <c r="L524" s="77"/>
      <c r="M524" s="30"/>
      <c r="N524" s="75"/>
      <c r="O524" s="76"/>
      <c r="P524" s="77"/>
      <c r="Q524" s="77"/>
      <c r="R524" s="30"/>
      <c r="S524" s="75"/>
      <c r="T524" s="76"/>
      <c r="U524" s="77"/>
      <c r="V524" s="77"/>
      <c r="W524" s="30"/>
      <c r="X524" s="75"/>
      <c r="Y524" s="76"/>
      <c r="Z524" s="77"/>
      <c r="AA524" s="77"/>
      <c r="AB524" s="74"/>
      <c r="AC524" s="46"/>
      <c r="AD524" s="75"/>
      <c r="AE524" s="44"/>
      <c r="AF524" s="80"/>
      <c r="AG524" s="77"/>
      <c r="AH524" s="32" t="e">
        <f>[1]Calc!$C$41/[1]Calc!$C$47</f>
        <v>#DIV/0!</v>
      </c>
      <c r="AI524" s="75"/>
      <c r="AJ524" s="44"/>
      <c r="AK524" s="80"/>
      <c r="AL524" s="77"/>
      <c r="AM524" s="32" t="e">
        <f>[1]Calc!$D$41/[1]Calc!$D$47</f>
        <v>#DIV/0!</v>
      </c>
      <c r="AN524" s="75"/>
      <c r="AO524" s="44"/>
      <c r="AP524" s="80"/>
      <c r="AQ524" s="77"/>
      <c r="AR524" s="32" t="e">
        <f>[1]Calc!$E$41/[1]Calc!$E$47</f>
        <v>#DIV/0!</v>
      </c>
      <c r="AS524" s="75"/>
      <c r="AT524" s="76"/>
      <c r="AU524" s="77"/>
      <c r="AV524" s="77"/>
      <c r="AW524" s="30"/>
      <c r="AX524" s="75"/>
      <c r="AY524" s="76"/>
      <c r="AZ524" s="77"/>
      <c r="BA524" s="77"/>
      <c r="BB524" s="9"/>
    </row>
    <row r="525" spans="1:54" x14ac:dyDescent="0.35">
      <c r="A525" s="54"/>
      <c r="B525" s="79" t="s">
        <v>172</v>
      </c>
      <c r="C525" s="74" t="s">
        <v>27</v>
      </c>
      <c r="D525" s="75" t="s">
        <v>56</v>
      </c>
      <c r="E525" s="44">
        <v>4.9303523126059767</v>
      </c>
      <c r="F525" s="80">
        <v>38.112254309352586</v>
      </c>
      <c r="G525" s="77">
        <v>187.90684117274361</v>
      </c>
      <c r="H525" s="74"/>
      <c r="I525" s="75" t="s">
        <v>56</v>
      </c>
      <c r="J525" s="76">
        <v>2.3704529279677611</v>
      </c>
      <c r="K525" s="77">
        <v>38.112254309352593</v>
      </c>
      <c r="L525" s="77">
        <v>90.343304819056769</v>
      </c>
      <c r="M525" s="30"/>
      <c r="N525" s="75" t="s">
        <v>56</v>
      </c>
      <c r="O525" s="76">
        <v>0.8145242450970257</v>
      </c>
      <c r="P525" s="77">
        <v>38.112254309352593</v>
      </c>
      <c r="Q525" s="77">
        <v>31.043355170271287</v>
      </c>
      <c r="R525" s="30"/>
      <c r="S525" s="75" t="s">
        <v>56</v>
      </c>
      <c r="T525" s="76">
        <v>0.86961292894770126</v>
      </c>
      <c r="U525" s="77">
        <v>38.112254309352593</v>
      </c>
      <c r="V525" s="77">
        <v>33.142909098755759</v>
      </c>
      <c r="W525" s="30"/>
      <c r="X525" s="75" t="s">
        <v>56</v>
      </c>
      <c r="Y525" s="76">
        <v>0.87576221059348813</v>
      </c>
      <c r="Z525" s="77">
        <v>38.112254309352593</v>
      </c>
      <c r="AA525" s="77">
        <v>33.377272084659822</v>
      </c>
      <c r="AB525" s="74"/>
      <c r="AC525" s="46">
        <f>[1]Calc!$B$41/[1]Calc!$B$47</f>
        <v>0.26112326356821269</v>
      </c>
      <c r="AD525" s="75"/>
      <c r="AE525" s="44"/>
      <c r="AF525" s="80"/>
      <c r="AG525" s="77">
        <f>AC525*0</f>
        <v>0</v>
      </c>
      <c r="AH525" s="32" t="e">
        <f>[1]Calc!$C$41/[1]Calc!$C$47</f>
        <v>#DIV/0!</v>
      </c>
      <c r="AI525" s="75"/>
      <c r="AJ525" s="44"/>
      <c r="AK525" s="80"/>
      <c r="AL525" s="77"/>
      <c r="AM525" s="32" t="e">
        <f>[1]Calc!$D$41/[1]Calc!$D$47</f>
        <v>#DIV/0!</v>
      </c>
      <c r="AN525" s="75"/>
      <c r="AO525" s="44"/>
      <c r="AP525" s="80"/>
      <c r="AQ525" s="77"/>
      <c r="AR525" s="32" t="e">
        <f>[1]Calc!$E$41/[1]Calc!$E$47</f>
        <v>#DIV/0!</v>
      </c>
      <c r="AS525" s="75"/>
      <c r="AT525" s="76"/>
      <c r="AU525" s="77"/>
      <c r="AV525" s="77"/>
      <c r="AW525" s="30"/>
      <c r="AX525" s="75"/>
      <c r="AY525" s="44"/>
      <c r="AZ525" s="80"/>
      <c r="BA525" s="77">
        <f>AG525+AL525+AQ525+AV525</f>
        <v>0</v>
      </c>
      <c r="BB525" s="9"/>
    </row>
    <row r="526" spans="1:54" x14ac:dyDescent="0.35">
      <c r="A526" s="54"/>
      <c r="B526" s="79" t="s">
        <v>173</v>
      </c>
      <c r="C526" s="74" t="s">
        <v>27</v>
      </c>
      <c r="D526" s="75" t="s">
        <v>58</v>
      </c>
      <c r="E526" s="44">
        <v>3.9442818500847809</v>
      </c>
      <c r="F526" s="80">
        <v>76</v>
      </c>
      <c r="G526" s="77">
        <v>299.76542060644334</v>
      </c>
      <c r="H526" s="74"/>
      <c r="I526" s="75" t="s">
        <v>58</v>
      </c>
      <c r="J526" s="76">
        <v>1.8963623423742089</v>
      </c>
      <c r="K526" s="77">
        <v>76</v>
      </c>
      <c r="L526" s="77">
        <v>144.12353802043987</v>
      </c>
      <c r="M526" s="30"/>
      <c r="N526" s="75" t="s">
        <v>58</v>
      </c>
      <c r="O526" s="76">
        <v>0.65161939607762065</v>
      </c>
      <c r="P526" s="77">
        <v>76</v>
      </c>
      <c r="Q526" s="77">
        <v>49.523074101899169</v>
      </c>
      <c r="R526" s="30"/>
      <c r="S526" s="75" t="s">
        <v>58</v>
      </c>
      <c r="T526" s="76">
        <v>0.69569034315816103</v>
      </c>
      <c r="U526" s="77">
        <v>76</v>
      </c>
      <c r="V526" s="77">
        <v>52.872466080020239</v>
      </c>
      <c r="W526" s="30"/>
      <c r="X526" s="75" t="s">
        <v>58</v>
      </c>
      <c r="Y526" s="76">
        <v>0.70060976847479051</v>
      </c>
      <c r="Z526" s="77">
        <v>76</v>
      </c>
      <c r="AA526" s="77">
        <v>53.246342404084075</v>
      </c>
      <c r="AB526" s="74"/>
      <c r="AC526" s="46">
        <f>[1]Calc!$B$41/[1]Calc!$B$47</f>
        <v>0.26112326356821269</v>
      </c>
      <c r="AD526" s="75"/>
      <c r="AE526" s="44"/>
      <c r="AF526" s="80"/>
      <c r="AG526" s="77">
        <f>AC526*0</f>
        <v>0</v>
      </c>
      <c r="AH526" s="32" t="e">
        <f>[1]Calc!$C$41/[1]Calc!$C$47</f>
        <v>#DIV/0!</v>
      </c>
      <c r="AI526" s="75"/>
      <c r="AJ526" s="44"/>
      <c r="AK526" s="80"/>
      <c r="AL526" s="77"/>
      <c r="AM526" s="32" t="e">
        <f>[1]Calc!$D$41/[1]Calc!$D$47</f>
        <v>#DIV/0!</v>
      </c>
      <c r="AN526" s="75"/>
      <c r="AO526" s="44"/>
      <c r="AP526" s="80"/>
      <c r="AQ526" s="77"/>
      <c r="AR526" s="32" t="e">
        <f>[1]Calc!$E$41/[1]Calc!$E$47</f>
        <v>#DIV/0!</v>
      </c>
      <c r="AS526" s="75"/>
      <c r="AT526" s="76"/>
      <c r="AU526" s="77"/>
      <c r="AV526" s="77"/>
      <c r="AW526" s="30"/>
      <c r="AX526" s="75"/>
      <c r="AY526" s="44"/>
      <c r="AZ526" s="80"/>
      <c r="BA526" s="77">
        <f>AG526+AL526+AQ526+AV526</f>
        <v>0</v>
      </c>
      <c r="BB526" s="9"/>
    </row>
    <row r="527" spans="1:54" x14ac:dyDescent="0.35">
      <c r="A527" s="54"/>
      <c r="B527" s="73" t="s">
        <v>166</v>
      </c>
      <c r="C527" s="74"/>
      <c r="D527" s="75"/>
      <c r="E527" s="76"/>
      <c r="F527" s="77"/>
      <c r="G527" s="77"/>
      <c r="H527" s="74"/>
      <c r="I527" s="75"/>
      <c r="J527" s="76"/>
      <c r="K527" s="77"/>
      <c r="L527" s="77"/>
      <c r="M527" s="30"/>
      <c r="N527" s="75"/>
      <c r="O527" s="76"/>
      <c r="P527" s="77"/>
      <c r="Q527" s="77"/>
      <c r="R527" s="30"/>
      <c r="S527" s="75"/>
      <c r="T527" s="76"/>
      <c r="U527" s="77"/>
      <c r="V527" s="77"/>
      <c r="W527" s="30"/>
      <c r="X527" s="75"/>
      <c r="Y527" s="76"/>
      <c r="Z527" s="77"/>
      <c r="AA527" s="77"/>
      <c r="AB527" s="74"/>
      <c r="AC527" s="46"/>
      <c r="AD527" s="75"/>
      <c r="AE527" s="44"/>
      <c r="AF527" s="80"/>
      <c r="AG527" s="77"/>
      <c r="AH527" s="32" t="e">
        <f>[1]Calc!$C$41/[1]Calc!$C$47</f>
        <v>#DIV/0!</v>
      </c>
      <c r="AI527" s="75"/>
      <c r="AJ527" s="44"/>
      <c r="AK527" s="80"/>
      <c r="AL527" s="77"/>
      <c r="AM527" s="32" t="e">
        <f>[1]Calc!$D$41/[1]Calc!$D$47</f>
        <v>#DIV/0!</v>
      </c>
      <c r="AN527" s="75"/>
      <c r="AO527" s="44"/>
      <c r="AP527" s="80"/>
      <c r="AQ527" s="77"/>
      <c r="AR527" s="32" t="e">
        <f>[1]Calc!$E$41/[1]Calc!$E$47</f>
        <v>#DIV/0!</v>
      </c>
      <c r="AS527" s="75"/>
      <c r="AT527" s="76"/>
      <c r="AU527" s="77"/>
      <c r="AV527" s="77"/>
      <c r="AW527" s="30"/>
      <c r="AX527" s="75"/>
      <c r="AY527" s="76"/>
      <c r="AZ527" s="77"/>
      <c r="BA527" s="77"/>
      <c r="BB527" s="9"/>
    </row>
    <row r="528" spans="1:54" x14ac:dyDescent="0.35">
      <c r="A528" s="54"/>
      <c r="B528" s="79" t="s">
        <v>174</v>
      </c>
      <c r="C528" s="74" t="s">
        <v>27</v>
      </c>
      <c r="D528" s="75" t="s">
        <v>56</v>
      </c>
      <c r="E528" s="44">
        <v>3.2869015417373175</v>
      </c>
      <c r="F528" s="80">
        <v>40</v>
      </c>
      <c r="G528" s="77">
        <v>131.47606166949271</v>
      </c>
      <c r="H528" s="74"/>
      <c r="I528" s="75" t="s">
        <v>56</v>
      </c>
      <c r="J528" s="76">
        <v>1.5803019519785075</v>
      </c>
      <c r="K528" s="77">
        <v>40</v>
      </c>
      <c r="L528" s="77">
        <v>63.212078079140298</v>
      </c>
      <c r="M528" s="30"/>
      <c r="N528" s="75" t="s">
        <v>56</v>
      </c>
      <c r="O528" s="76">
        <v>0.54301616339801717</v>
      </c>
      <c r="P528" s="77">
        <v>40</v>
      </c>
      <c r="Q528" s="77">
        <v>21.720646535920686</v>
      </c>
      <c r="R528" s="30"/>
      <c r="S528" s="75" t="s">
        <v>56</v>
      </c>
      <c r="T528" s="76">
        <v>0.57974195263180084</v>
      </c>
      <c r="U528" s="77">
        <v>40</v>
      </c>
      <c r="V528" s="77">
        <v>23.189678105272034</v>
      </c>
      <c r="W528" s="30"/>
      <c r="X528" s="75" t="s">
        <v>56</v>
      </c>
      <c r="Y528" s="76">
        <v>0.58384147372899209</v>
      </c>
      <c r="Z528" s="77">
        <v>40</v>
      </c>
      <c r="AA528" s="77">
        <v>23.353658949159684</v>
      </c>
      <c r="AB528" s="74"/>
      <c r="AC528" s="46">
        <f>[1]Calc!$B$41/[1]Calc!$B$47</f>
        <v>0.26112326356821269</v>
      </c>
      <c r="AD528" s="75"/>
      <c r="AE528" s="44"/>
      <c r="AF528" s="80"/>
      <c r="AG528" s="77">
        <f>AC528*0</f>
        <v>0</v>
      </c>
      <c r="AH528" s="32" t="e">
        <f>[1]Calc!$C$41/[1]Calc!$C$47</f>
        <v>#DIV/0!</v>
      </c>
      <c r="AI528" s="75"/>
      <c r="AJ528" s="44"/>
      <c r="AK528" s="80"/>
      <c r="AL528" s="77"/>
      <c r="AM528" s="32" t="e">
        <f>[1]Calc!$D$41/[1]Calc!$D$47</f>
        <v>#DIV/0!</v>
      </c>
      <c r="AN528" s="75"/>
      <c r="AO528" s="44"/>
      <c r="AP528" s="80"/>
      <c r="AQ528" s="77"/>
      <c r="AR528" s="32" t="e">
        <f>[1]Calc!$E$41/[1]Calc!$E$47</f>
        <v>#DIV/0!</v>
      </c>
      <c r="AS528" s="75"/>
      <c r="AT528" s="76"/>
      <c r="AU528" s="77"/>
      <c r="AV528" s="77"/>
      <c r="AW528" s="30"/>
      <c r="AX528" s="75"/>
      <c r="AY528" s="44"/>
      <c r="AZ528" s="80"/>
      <c r="BA528" s="77">
        <f>AG528+AL528+AQ528+AV528</f>
        <v>0</v>
      </c>
      <c r="BB528" s="9"/>
    </row>
    <row r="529" spans="1:54" x14ac:dyDescent="0.35">
      <c r="A529" s="54"/>
      <c r="B529" s="79" t="s">
        <v>175</v>
      </c>
      <c r="C529" s="74" t="s">
        <v>27</v>
      </c>
      <c r="D529" s="75" t="s">
        <v>58</v>
      </c>
      <c r="E529" s="44">
        <v>2.958211387563586</v>
      </c>
      <c r="F529" s="80">
        <v>70</v>
      </c>
      <c r="G529" s="77">
        <v>207.07479712945101</v>
      </c>
      <c r="H529" s="74"/>
      <c r="I529" s="75" t="s">
        <v>58</v>
      </c>
      <c r="J529" s="76">
        <v>1.4222717567806569</v>
      </c>
      <c r="K529" s="77">
        <v>70</v>
      </c>
      <c r="L529" s="77">
        <v>99.559022974645984</v>
      </c>
      <c r="M529" s="30"/>
      <c r="N529" s="75" t="s">
        <v>58</v>
      </c>
      <c r="O529" s="76">
        <v>0.48871454705821543</v>
      </c>
      <c r="P529" s="77">
        <v>70</v>
      </c>
      <c r="Q529" s="77">
        <v>34.210018294075077</v>
      </c>
      <c r="R529" s="30"/>
      <c r="S529" s="75" t="s">
        <v>58</v>
      </c>
      <c r="T529" s="76">
        <v>0.5217677573686208</v>
      </c>
      <c r="U529" s="77">
        <v>70</v>
      </c>
      <c r="V529" s="77">
        <v>36.523743015803454</v>
      </c>
      <c r="W529" s="30"/>
      <c r="X529" s="75" t="s">
        <v>58</v>
      </c>
      <c r="Y529" s="76">
        <v>0.52545732635609288</v>
      </c>
      <c r="Z529" s="77">
        <v>70</v>
      </c>
      <c r="AA529" s="77">
        <v>36.782012844926498</v>
      </c>
      <c r="AB529" s="74"/>
      <c r="AC529" s="46">
        <f>[1]Calc!$B$41/[1]Calc!$B$47</f>
        <v>0.26112326356821269</v>
      </c>
      <c r="AD529" s="75"/>
      <c r="AE529" s="44"/>
      <c r="AF529" s="80"/>
      <c r="AG529" s="77">
        <f>AC529*0</f>
        <v>0</v>
      </c>
      <c r="AH529" s="32" t="e">
        <f>[1]Calc!$C$41/[1]Calc!$C$47</f>
        <v>#DIV/0!</v>
      </c>
      <c r="AI529" s="75"/>
      <c r="AJ529" s="44"/>
      <c r="AK529" s="80"/>
      <c r="AL529" s="77"/>
      <c r="AM529" s="32" t="e">
        <f>[1]Calc!$D$41/[1]Calc!$D$47</f>
        <v>#DIV/0!</v>
      </c>
      <c r="AN529" s="75"/>
      <c r="AO529" s="44"/>
      <c r="AP529" s="80"/>
      <c r="AQ529" s="77"/>
      <c r="AR529" s="32" t="e">
        <f>[1]Calc!$E$41/[1]Calc!$E$47</f>
        <v>#DIV/0!</v>
      </c>
      <c r="AS529" s="75"/>
      <c r="AT529" s="76"/>
      <c r="AU529" s="77"/>
      <c r="AV529" s="77"/>
      <c r="AW529" s="30"/>
      <c r="AX529" s="75"/>
      <c r="AY529" s="44"/>
      <c r="AZ529" s="80"/>
      <c r="BA529" s="77">
        <f>AG529+AL529+AQ529+AV529</f>
        <v>0</v>
      </c>
      <c r="BB529" s="9"/>
    </row>
    <row r="530" spans="1:54" x14ac:dyDescent="0.35">
      <c r="A530" s="54"/>
      <c r="B530" s="92"/>
      <c r="C530" s="74"/>
      <c r="D530" s="75"/>
      <c r="E530" s="76"/>
      <c r="F530" s="77"/>
      <c r="G530" s="77"/>
      <c r="H530" s="74"/>
      <c r="I530" s="75"/>
      <c r="J530" s="76"/>
      <c r="K530" s="77"/>
      <c r="L530" s="77"/>
      <c r="M530" s="30"/>
      <c r="N530" s="75"/>
      <c r="O530" s="76"/>
      <c r="P530" s="77"/>
      <c r="Q530" s="77"/>
      <c r="R530" s="30"/>
      <c r="S530" s="75"/>
      <c r="T530" s="76"/>
      <c r="U530" s="77"/>
      <c r="V530" s="77"/>
      <c r="W530" s="30"/>
      <c r="X530" s="75"/>
      <c r="Y530" s="76"/>
      <c r="Z530" s="77"/>
      <c r="AA530" s="77"/>
      <c r="AB530" s="74"/>
      <c r="AC530" s="46"/>
      <c r="AD530" s="75"/>
      <c r="AE530" s="44"/>
      <c r="AF530" s="80"/>
      <c r="AG530" s="77"/>
      <c r="AH530" s="32" t="e">
        <f>[1]Calc!$C$41/[1]Calc!$C$47</f>
        <v>#DIV/0!</v>
      </c>
      <c r="AI530" s="75"/>
      <c r="AJ530" s="44"/>
      <c r="AK530" s="80"/>
      <c r="AL530" s="77"/>
      <c r="AM530" s="32" t="e">
        <f>[1]Calc!$D$41/[1]Calc!$D$47</f>
        <v>#DIV/0!</v>
      </c>
      <c r="AN530" s="75"/>
      <c r="AO530" s="44"/>
      <c r="AP530" s="80"/>
      <c r="AQ530" s="77"/>
      <c r="AR530" s="32" t="e">
        <f>[1]Calc!$E$41/[1]Calc!$E$47</f>
        <v>#DIV/0!</v>
      </c>
      <c r="AS530" s="75"/>
      <c r="AT530" s="76"/>
      <c r="AU530" s="77"/>
      <c r="AV530" s="77"/>
      <c r="AW530" s="30"/>
      <c r="AX530" s="75"/>
      <c r="AY530" s="76"/>
      <c r="AZ530" s="77"/>
      <c r="BA530" s="77"/>
      <c r="BB530" s="9"/>
    </row>
    <row r="531" spans="1:54" x14ac:dyDescent="0.35">
      <c r="A531" s="54"/>
      <c r="B531" s="71" t="s">
        <v>176</v>
      </c>
      <c r="C531" s="74"/>
      <c r="D531" s="75"/>
      <c r="E531" s="76"/>
      <c r="F531" s="77"/>
      <c r="G531" s="77"/>
      <c r="H531" s="74"/>
      <c r="I531" s="75"/>
      <c r="J531" s="76"/>
      <c r="K531" s="77"/>
      <c r="L531" s="77"/>
      <c r="M531" s="30"/>
      <c r="N531" s="75"/>
      <c r="O531" s="76"/>
      <c r="P531" s="77"/>
      <c r="Q531" s="77"/>
      <c r="R531" s="30"/>
      <c r="S531" s="75"/>
      <c r="T531" s="76"/>
      <c r="U531" s="77"/>
      <c r="V531" s="77"/>
      <c r="W531" s="30"/>
      <c r="X531" s="75"/>
      <c r="Y531" s="76"/>
      <c r="Z531" s="77"/>
      <c r="AA531" s="77"/>
      <c r="AB531" s="74"/>
      <c r="AC531" s="46"/>
      <c r="AD531" s="75"/>
      <c r="AE531" s="44"/>
      <c r="AF531" s="80"/>
      <c r="AG531" s="77"/>
      <c r="AH531" s="32" t="e">
        <f>[1]Calc!$C$41/[1]Calc!$C$47</f>
        <v>#DIV/0!</v>
      </c>
      <c r="AI531" s="75"/>
      <c r="AJ531" s="44"/>
      <c r="AK531" s="80"/>
      <c r="AL531" s="77"/>
      <c r="AM531" s="32" t="e">
        <f>[1]Calc!$D$41/[1]Calc!$D$47</f>
        <v>#DIV/0!</v>
      </c>
      <c r="AN531" s="75"/>
      <c r="AO531" s="44"/>
      <c r="AP531" s="80"/>
      <c r="AQ531" s="77"/>
      <c r="AR531" s="32" t="e">
        <f>[1]Calc!$E$41/[1]Calc!$E$47</f>
        <v>#DIV/0!</v>
      </c>
      <c r="AS531" s="75"/>
      <c r="AT531" s="76"/>
      <c r="AU531" s="77"/>
      <c r="AV531" s="77"/>
      <c r="AW531" s="30"/>
      <c r="AX531" s="75"/>
      <c r="AY531" s="76"/>
      <c r="AZ531" s="77"/>
      <c r="BA531" s="77"/>
      <c r="BB531" s="9"/>
    </row>
    <row r="532" spans="1:54" x14ac:dyDescent="0.35">
      <c r="A532" s="54"/>
      <c r="B532" s="73" t="s">
        <v>177</v>
      </c>
      <c r="C532" s="74"/>
      <c r="D532" s="75"/>
      <c r="E532" s="76"/>
      <c r="F532" s="77"/>
      <c r="G532" s="77"/>
      <c r="H532" s="74"/>
      <c r="I532" s="75"/>
      <c r="J532" s="76"/>
      <c r="K532" s="77"/>
      <c r="L532" s="77"/>
      <c r="M532" s="30"/>
      <c r="N532" s="75"/>
      <c r="O532" s="76"/>
      <c r="P532" s="77"/>
      <c r="Q532" s="77"/>
      <c r="R532" s="30"/>
      <c r="S532" s="75"/>
      <c r="T532" s="76"/>
      <c r="U532" s="77"/>
      <c r="V532" s="77"/>
      <c r="W532" s="30"/>
      <c r="X532" s="75"/>
      <c r="Y532" s="76"/>
      <c r="Z532" s="77"/>
      <c r="AA532" s="77"/>
      <c r="AB532" s="74"/>
      <c r="AC532" s="46"/>
      <c r="AD532" s="75"/>
      <c r="AE532" s="44"/>
      <c r="AF532" s="80"/>
      <c r="AG532" s="77"/>
      <c r="AH532" s="32" t="e">
        <f>[1]Calc!$C$41/[1]Calc!$C$47</f>
        <v>#DIV/0!</v>
      </c>
      <c r="AI532" s="75"/>
      <c r="AJ532" s="44"/>
      <c r="AK532" s="80"/>
      <c r="AL532" s="77"/>
      <c r="AM532" s="32" t="e">
        <f>[1]Calc!$D$41/[1]Calc!$D$47</f>
        <v>#DIV/0!</v>
      </c>
      <c r="AN532" s="75"/>
      <c r="AO532" s="44"/>
      <c r="AP532" s="80"/>
      <c r="AQ532" s="77"/>
      <c r="AR532" s="32" t="e">
        <f>[1]Calc!$E$41/[1]Calc!$E$47</f>
        <v>#DIV/0!</v>
      </c>
      <c r="AS532" s="75"/>
      <c r="AT532" s="76"/>
      <c r="AU532" s="77"/>
      <c r="AV532" s="77"/>
      <c r="AW532" s="30"/>
      <c r="AX532" s="75"/>
      <c r="AY532" s="76"/>
      <c r="AZ532" s="77"/>
      <c r="BA532" s="77"/>
      <c r="BB532" s="9"/>
    </row>
    <row r="533" spans="1:54" x14ac:dyDescent="0.35">
      <c r="A533" s="54"/>
      <c r="B533" s="79" t="s">
        <v>178</v>
      </c>
      <c r="C533" s="74" t="s">
        <v>27</v>
      </c>
      <c r="D533" s="75" t="s">
        <v>56</v>
      </c>
      <c r="E533" s="44">
        <v>19.721409250423907</v>
      </c>
      <c r="F533" s="80">
        <v>19</v>
      </c>
      <c r="G533" s="77">
        <v>374.70677575805422</v>
      </c>
      <c r="H533" s="74"/>
      <c r="I533" s="75" t="s">
        <v>56</v>
      </c>
      <c r="J533" s="76">
        <v>9.4818117118710443</v>
      </c>
      <c r="K533" s="77">
        <v>19</v>
      </c>
      <c r="L533" s="77">
        <v>180.15442252554985</v>
      </c>
      <c r="M533" s="30"/>
      <c r="N533" s="75" t="s">
        <v>56</v>
      </c>
      <c r="O533" s="76">
        <v>3.2580969803881028</v>
      </c>
      <c r="P533" s="77">
        <v>19</v>
      </c>
      <c r="Q533" s="77">
        <v>61.903842627373955</v>
      </c>
      <c r="R533" s="30"/>
      <c r="S533" s="75" t="s">
        <v>56</v>
      </c>
      <c r="T533" s="76">
        <v>3.478451715790805</v>
      </c>
      <c r="U533" s="77">
        <v>19</v>
      </c>
      <c r="V533" s="77">
        <v>66.0905826000253</v>
      </c>
      <c r="W533" s="30"/>
      <c r="X533" s="75" t="s">
        <v>56</v>
      </c>
      <c r="Y533" s="76">
        <v>3.5030488423739525</v>
      </c>
      <c r="Z533" s="77">
        <v>19</v>
      </c>
      <c r="AA533" s="77">
        <v>66.557928005105097</v>
      </c>
      <c r="AB533" s="74"/>
      <c r="AC533" s="46">
        <f>[1]Calc!$B$41/[1]Calc!$B$47</f>
        <v>0.26112326356821269</v>
      </c>
      <c r="AD533" s="75"/>
      <c r="AE533" s="44"/>
      <c r="AF533" s="80"/>
      <c r="AG533" s="77">
        <f>AC533*3582.859</f>
        <v>935.56783498474294</v>
      </c>
      <c r="AH533" s="32" t="e">
        <f>[1]Calc!$C$41/[1]Calc!$C$47</f>
        <v>#DIV/0!</v>
      </c>
      <c r="AI533" s="75"/>
      <c r="AJ533" s="44"/>
      <c r="AK533" s="80"/>
      <c r="AL533" s="77"/>
      <c r="AM533" s="32" t="e">
        <f>[1]Calc!$D$41/[1]Calc!$D$47</f>
        <v>#DIV/0!</v>
      </c>
      <c r="AN533" s="75"/>
      <c r="AO533" s="44"/>
      <c r="AP533" s="80"/>
      <c r="AQ533" s="77"/>
      <c r="AR533" s="32" t="e">
        <f>[1]Calc!$E$41/[1]Calc!$E$47</f>
        <v>#DIV/0!</v>
      </c>
      <c r="AS533" s="75"/>
      <c r="AT533" s="76"/>
      <c r="AU533" s="77"/>
      <c r="AV533" s="77"/>
      <c r="AW533" s="30"/>
      <c r="AX533" s="75"/>
      <c r="AY533" s="44"/>
      <c r="AZ533" s="80"/>
      <c r="BA533" s="77">
        <f>AG533+AL533+AQ533+AV533</f>
        <v>935.56783498474294</v>
      </c>
      <c r="BB533" s="9"/>
    </row>
    <row r="534" spans="1:54" x14ac:dyDescent="0.35">
      <c r="A534" s="54"/>
      <c r="B534" s="79" t="s">
        <v>179</v>
      </c>
      <c r="C534" s="74" t="s">
        <v>27</v>
      </c>
      <c r="D534" s="75" t="s">
        <v>58</v>
      </c>
      <c r="E534" s="44">
        <v>13.14760616694927</v>
      </c>
      <c r="F534" s="80">
        <v>29.999999999999996</v>
      </c>
      <c r="G534" s="77">
        <v>394.42818500847807</v>
      </c>
      <c r="H534" s="74"/>
      <c r="I534" s="75" t="s">
        <v>58</v>
      </c>
      <c r="J534" s="76">
        <v>6.3212078079140301</v>
      </c>
      <c r="K534" s="77">
        <v>30</v>
      </c>
      <c r="L534" s="77">
        <v>189.63623423742089</v>
      </c>
      <c r="M534" s="30"/>
      <c r="N534" s="75" t="s">
        <v>58</v>
      </c>
      <c r="O534" s="76">
        <v>2.1720646535920687</v>
      </c>
      <c r="P534" s="77">
        <v>30</v>
      </c>
      <c r="Q534" s="77">
        <v>65.161939607762065</v>
      </c>
      <c r="R534" s="30"/>
      <c r="S534" s="75" t="s">
        <v>58</v>
      </c>
      <c r="T534" s="76">
        <v>2.3189678105272034</v>
      </c>
      <c r="U534" s="77">
        <v>30</v>
      </c>
      <c r="V534" s="77">
        <v>69.569034315816097</v>
      </c>
      <c r="W534" s="30"/>
      <c r="X534" s="75" t="s">
        <v>58</v>
      </c>
      <c r="Y534" s="76">
        <v>2.3353658949159684</v>
      </c>
      <c r="Z534" s="77">
        <v>30</v>
      </c>
      <c r="AA534" s="77">
        <v>70.060976847479054</v>
      </c>
      <c r="AB534" s="74"/>
      <c r="AC534" s="46">
        <f>[1]Calc!$B$41/[1]Calc!$B$47</f>
        <v>0.26112326356821269</v>
      </c>
      <c r="AD534" s="75"/>
      <c r="AE534" s="44"/>
      <c r="AF534" s="80"/>
      <c r="AG534" s="77">
        <f>AC534*1932.786</f>
        <v>504.69538809895158</v>
      </c>
      <c r="AH534" s="32" t="e">
        <f>[1]Calc!$C$41/[1]Calc!$C$47</f>
        <v>#DIV/0!</v>
      </c>
      <c r="AI534" s="75"/>
      <c r="AJ534" s="44"/>
      <c r="AK534" s="80"/>
      <c r="AL534" s="77"/>
      <c r="AM534" s="32" t="e">
        <f>[1]Calc!$D$41/[1]Calc!$D$47</f>
        <v>#DIV/0!</v>
      </c>
      <c r="AN534" s="75"/>
      <c r="AO534" s="44"/>
      <c r="AP534" s="80"/>
      <c r="AQ534" s="77"/>
      <c r="AR534" s="32" t="e">
        <f>[1]Calc!$E$41/[1]Calc!$E$47</f>
        <v>#DIV/0!</v>
      </c>
      <c r="AS534" s="75"/>
      <c r="AT534" s="76"/>
      <c r="AU534" s="77"/>
      <c r="AV534" s="77"/>
      <c r="AW534" s="30"/>
      <c r="AX534" s="75"/>
      <c r="AY534" s="44"/>
      <c r="AZ534" s="80"/>
      <c r="BA534" s="77">
        <f>AG534+AL534+AQ534+AV534</f>
        <v>504.69538809895158</v>
      </c>
      <c r="BB534" s="9"/>
    </row>
    <row r="535" spans="1:54" x14ac:dyDescent="0.35">
      <c r="A535" s="54"/>
      <c r="B535" s="73" t="s">
        <v>180</v>
      </c>
      <c r="C535" s="74"/>
      <c r="D535" s="75"/>
      <c r="E535" s="76"/>
      <c r="F535" s="77"/>
      <c r="G535" s="77"/>
      <c r="H535" s="74"/>
      <c r="I535" s="75"/>
      <c r="J535" s="76"/>
      <c r="K535" s="77"/>
      <c r="L535" s="77"/>
      <c r="M535" s="30"/>
      <c r="N535" s="75"/>
      <c r="O535" s="76"/>
      <c r="P535" s="77"/>
      <c r="Q535" s="77"/>
      <c r="R535" s="30"/>
      <c r="S535" s="75"/>
      <c r="T535" s="76"/>
      <c r="U535" s="77"/>
      <c r="V535" s="77"/>
      <c r="W535" s="30"/>
      <c r="X535" s="75"/>
      <c r="Y535" s="76"/>
      <c r="Z535" s="77"/>
      <c r="AA535" s="77"/>
      <c r="AB535" s="74"/>
      <c r="AC535" s="46"/>
      <c r="AD535" s="75"/>
      <c r="AE535" s="44"/>
      <c r="AF535" s="80"/>
      <c r="AG535" s="77"/>
      <c r="AH535" s="32" t="e">
        <f>[1]Calc!$C$41/[1]Calc!$C$47</f>
        <v>#DIV/0!</v>
      </c>
      <c r="AI535" s="75"/>
      <c r="AJ535" s="44"/>
      <c r="AK535" s="80"/>
      <c r="AL535" s="77"/>
      <c r="AM535" s="32" t="e">
        <f>[1]Calc!$D$41/[1]Calc!$D$47</f>
        <v>#DIV/0!</v>
      </c>
      <c r="AN535" s="75"/>
      <c r="AO535" s="44"/>
      <c r="AP535" s="80"/>
      <c r="AQ535" s="77"/>
      <c r="AR535" s="32" t="e">
        <f>[1]Calc!$E$41/[1]Calc!$E$47</f>
        <v>#DIV/0!</v>
      </c>
      <c r="AS535" s="75"/>
      <c r="AT535" s="76"/>
      <c r="AU535" s="77"/>
      <c r="AV535" s="77"/>
      <c r="AW535" s="30"/>
      <c r="AX535" s="75"/>
      <c r="AY535" s="76"/>
      <c r="AZ535" s="77"/>
      <c r="BA535" s="77"/>
      <c r="BB535" s="9"/>
    </row>
    <row r="536" spans="1:54" x14ac:dyDescent="0.35">
      <c r="A536" s="54"/>
      <c r="B536" s="92" t="s">
        <v>181</v>
      </c>
      <c r="C536" s="74" t="s">
        <v>27</v>
      </c>
      <c r="D536" s="75" t="s">
        <v>56</v>
      </c>
      <c r="E536" s="44">
        <v>43.387100350932599</v>
      </c>
      <c r="F536" s="80">
        <v>19</v>
      </c>
      <c r="G536" s="77">
        <v>824.35490666771932</v>
      </c>
      <c r="H536" s="74"/>
      <c r="I536" s="75" t="s">
        <v>56</v>
      </c>
      <c r="J536" s="76">
        <v>20.859985766116299</v>
      </c>
      <c r="K536" s="77">
        <v>19</v>
      </c>
      <c r="L536" s="77">
        <v>396.3397295562097</v>
      </c>
      <c r="M536" s="30"/>
      <c r="N536" s="75" t="s">
        <v>56</v>
      </c>
      <c r="O536" s="76">
        <v>7.1678133568538271</v>
      </c>
      <c r="P536" s="77">
        <v>19</v>
      </c>
      <c r="Q536" s="77">
        <v>136.18845378022272</v>
      </c>
      <c r="R536" s="30"/>
      <c r="S536" s="75" t="s">
        <v>56</v>
      </c>
      <c r="T536" s="76">
        <v>7.6525937747397714</v>
      </c>
      <c r="U536" s="77">
        <v>19</v>
      </c>
      <c r="V536" s="77">
        <v>145.39928172005565</v>
      </c>
      <c r="W536" s="30"/>
      <c r="X536" s="75" t="s">
        <v>56</v>
      </c>
      <c r="Y536" s="76">
        <v>7.7067074532226956</v>
      </c>
      <c r="Z536" s="77">
        <v>19</v>
      </c>
      <c r="AA536" s="77">
        <v>146.42744161123122</v>
      </c>
      <c r="AB536" s="74"/>
      <c r="AC536" s="46">
        <f>[1]Calc!$B$41/[1]Calc!$B$47</f>
        <v>0.26112326356821269</v>
      </c>
      <c r="AD536" s="75"/>
      <c r="AE536" s="44"/>
      <c r="AF536" s="80"/>
      <c r="AG536" s="77">
        <f>AC536*1150.982</f>
        <v>300.54817614826857</v>
      </c>
      <c r="AH536" s="32" t="e">
        <f>[1]Calc!$C$41/[1]Calc!$C$47</f>
        <v>#DIV/0!</v>
      </c>
      <c r="AI536" s="75"/>
      <c r="AJ536" s="44"/>
      <c r="AK536" s="80"/>
      <c r="AL536" s="77"/>
      <c r="AM536" s="32" t="e">
        <f>[1]Calc!$D$41/[1]Calc!$D$47</f>
        <v>#DIV/0!</v>
      </c>
      <c r="AN536" s="75"/>
      <c r="AO536" s="44"/>
      <c r="AP536" s="80"/>
      <c r="AQ536" s="77"/>
      <c r="AR536" s="32" t="e">
        <f>[1]Calc!$E$41/[1]Calc!$E$47</f>
        <v>#DIV/0!</v>
      </c>
      <c r="AS536" s="75"/>
      <c r="AT536" s="76"/>
      <c r="AU536" s="77"/>
      <c r="AV536" s="77"/>
      <c r="AW536" s="30"/>
      <c r="AX536" s="75"/>
      <c r="AY536" s="44"/>
      <c r="AZ536" s="80"/>
      <c r="BA536" s="77">
        <f>AG536+AL536+AQ536+AV536</f>
        <v>300.54817614826857</v>
      </c>
      <c r="BB536" s="9"/>
    </row>
    <row r="537" spans="1:54" x14ac:dyDescent="0.35">
      <c r="A537" s="54"/>
      <c r="B537" s="92" t="s">
        <v>182</v>
      </c>
      <c r="C537" s="74" t="s">
        <v>27</v>
      </c>
      <c r="D537" s="75" t="s">
        <v>58</v>
      </c>
      <c r="E537" s="44">
        <v>28.924733567288392</v>
      </c>
      <c r="F537" s="80">
        <v>30.000000000000004</v>
      </c>
      <c r="G537" s="77">
        <v>867.74200701865186</v>
      </c>
      <c r="H537" s="74"/>
      <c r="I537" s="75" t="s">
        <v>58</v>
      </c>
      <c r="J537" s="76">
        <v>13.906657177410866</v>
      </c>
      <c r="K537" s="77">
        <v>30</v>
      </c>
      <c r="L537" s="77">
        <v>417.19971532232597</v>
      </c>
      <c r="M537" s="30"/>
      <c r="N537" s="75" t="s">
        <v>58</v>
      </c>
      <c r="O537" s="76">
        <v>4.7785422379025508</v>
      </c>
      <c r="P537" s="77">
        <v>30</v>
      </c>
      <c r="Q537" s="77">
        <v>143.35626713707651</v>
      </c>
      <c r="R537" s="30"/>
      <c r="S537" s="75" t="s">
        <v>58</v>
      </c>
      <c r="T537" s="76">
        <v>5.101729183159847</v>
      </c>
      <c r="U537" s="77">
        <v>30</v>
      </c>
      <c r="V537" s="77">
        <v>153.05187549479541</v>
      </c>
      <c r="W537" s="30"/>
      <c r="X537" s="75" t="s">
        <v>58</v>
      </c>
      <c r="Y537" s="76">
        <v>5.1378049688151304</v>
      </c>
      <c r="Z537" s="77">
        <v>30</v>
      </c>
      <c r="AA537" s="77">
        <v>154.13414906445391</v>
      </c>
      <c r="AB537" s="74"/>
      <c r="AC537" s="46">
        <f>[1]Calc!$B$41/[1]Calc!$B$47</f>
        <v>0.26112326356821269</v>
      </c>
      <c r="AD537" s="75"/>
      <c r="AE537" s="44"/>
      <c r="AF537" s="80"/>
      <c r="AG537" s="77">
        <f>AC537*1607.584</f>
        <v>419.77758054004164</v>
      </c>
      <c r="AH537" s="32" t="e">
        <f>[1]Calc!$C$41/[1]Calc!$C$47</f>
        <v>#DIV/0!</v>
      </c>
      <c r="AI537" s="75"/>
      <c r="AJ537" s="44"/>
      <c r="AK537" s="80"/>
      <c r="AL537" s="77"/>
      <c r="AM537" s="32" t="e">
        <f>[1]Calc!$D$41/[1]Calc!$D$47</f>
        <v>#DIV/0!</v>
      </c>
      <c r="AN537" s="75"/>
      <c r="AO537" s="44"/>
      <c r="AP537" s="80"/>
      <c r="AQ537" s="77"/>
      <c r="AR537" s="32" t="e">
        <f>[1]Calc!$E$41/[1]Calc!$E$47</f>
        <v>#DIV/0!</v>
      </c>
      <c r="AS537" s="75"/>
      <c r="AT537" s="76"/>
      <c r="AU537" s="77"/>
      <c r="AV537" s="77"/>
      <c r="AW537" s="30"/>
      <c r="AX537" s="75"/>
      <c r="AY537" s="44"/>
      <c r="AZ537" s="80"/>
      <c r="BA537" s="77">
        <f>AG537+AL537+AQ537+AV537</f>
        <v>419.77758054004164</v>
      </c>
      <c r="BB537" s="9"/>
    </row>
    <row r="538" spans="1:54" x14ac:dyDescent="0.35">
      <c r="A538" s="54"/>
      <c r="B538" s="55"/>
      <c r="C538" s="42"/>
      <c r="D538" s="43"/>
      <c r="E538" s="44"/>
      <c r="F538" s="89"/>
      <c r="G538" s="77"/>
      <c r="H538" s="42"/>
      <c r="I538" s="43"/>
      <c r="J538" s="44"/>
      <c r="K538" s="89"/>
      <c r="L538" s="77"/>
      <c r="M538" s="30"/>
      <c r="N538" s="43"/>
      <c r="O538" s="44"/>
      <c r="P538" s="89"/>
      <c r="Q538" s="77"/>
      <c r="R538" s="30"/>
      <c r="S538" s="43"/>
      <c r="T538" s="44"/>
      <c r="U538" s="89"/>
      <c r="V538" s="77"/>
      <c r="W538" s="30"/>
      <c r="X538" s="43"/>
      <c r="Y538" s="44"/>
      <c r="Z538" s="89"/>
      <c r="AA538" s="77"/>
      <c r="AB538" s="42"/>
      <c r="AC538" s="46"/>
      <c r="AD538" s="75"/>
      <c r="AE538" s="44"/>
      <c r="AF538" s="80"/>
      <c r="AG538" s="77"/>
      <c r="AH538" s="32" t="e">
        <f>[1]Calc!$C$41/[1]Calc!$C$47</f>
        <v>#DIV/0!</v>
      </c>
      <c r="AI538" s="75"/>
      <c r="AJ538" s="44"/>
      <c r="AK538" s="80"/>
      <c r="AL538" s="77"/>
      <c r="AM538" s="32" t="e">
        <f>[1]Calc!$D$41/[1]Calc!$D$47</f>
        <v>#DIV/0!</v>
      </c>
      <c r="AN538" s="75"/>
      <c r="AO538" s="44"/>
      <c r="AP538" s="80"/>
      <c r="AQ538" s="77"/>
      <c r="AR538" s="32" t="e">
        <f>[1]Calc!$E$41/[1]Calc!$E$47</f>
        <v>#DIV/0!</v>
      </c>
      <c r="AS538" s="43"/>
      <c r="AT538" s="44"/>
      <c r="AU538" s="89"/>
      <c r="AV538" s="77"/>
      <c r="AW538" s="30"/>
      <c r="AX538" s="43"/>
      <c r="AY538" s="44"/>
      <c r="AZ538" s="89"/>
      <c r="BA538" s="77"/>
      <c r="BB538" s="9"/>
    </row>
    <row r="539" spans="1:54" ht="29" x14ac:dyDescent="0.35">
      <c r="A539" s="54"/>
      <c r="B539" s="180" t="s">
        <v>183</v>
      </c>
      <c r="C539" s="42"/>
      <c r="D539" s="43"/>
      <c r="E539" s="44"/>
      <c r="F539" s="89"/>
      <c r="G539" s="77"/>
      <c r="H539" s="42"/>
      <c r="I539" s="43"/>
      <c r="J539" s="44"/>
      <c r="K539" s="89"/>
      <c r="L539" s="77"/>
      <c r="M539" s="30"/>
      <c r="N539" s="43"/>
      <c r="O539" s="44"/>
      <c r="P539" s="89"/>
      <c r="Q539" s="77"/>
      <c r="R539" s="30"/>
      <c r="S539" s="43"/>
      <c r="T539" s="44"/>
      <c r="U539" s="89"/>
      <c r="V539" s="77"/>
      <c r="W539" s="30"/>
      <c r="X539" s="43"/>
      <c r="Y539" s="44"/>
      <c r="Z539" s="89"/>
      <c r="AA539" s="77"/>
      <c r="AB539" s="42"/>
      <c r="AC539" s="46"/>
      <c r="AD539" s="75"/>
      <c r="AE539" s="44"/>
      <c r="AF539" s="80"/>
      <c r="AG539" s="77"/>
      <c r="AH539" s="32" t="e">
        <f>[1]Calc!$C$41/[1]Calc!$C$47</f>
        <v>#DIV/0!</v>
      </c>
      <c r="AI539" s="75"/>
      <c r="AJ539" s="44"/>
      <c r="AK539" s="80"/>
      <c r="AL539" s="77"/>
      <c r="AM539" s="32" t="e">
        <f>[1]Calc!$D$41/[1]Calc!$D$47</f>
        <v>#DIV/0!</v>
      </c>
      <c r="AN539" s="75"/>
      <c r="AO539" s="44"/>
      <c r="AP539" s="80"/>
      <c r="AQ539" s="77"/>
      <c r="AR539" s="32" t="e">
        <f>[1]Calc!$E$41/[1]Calc!$E$47</f>
        <v>#DIV/0!</v>
      </c>
      <c r="AS539" s="43"/>
      <c r="AT539" s="44"/>
      <c r="AU539" s="89"/>
      <c r="AV539" s="77"/>
      <c r="AW539" s="30"/>
      <c r="AX539" s="43"/>
      <c r="AY539" s="44"/>
      <c r="AZ539" s="89"/>
      <c r="BA539" s="77"/>
      <c r="BB539" s="9"/>
    </row>
    <row r="540" spans="1:54" x14ac:dyDescent="0.35">
      <c r="A540" s="54"/>
      <c r="B540" s="55"/>
      <c r="C540" s="42"/>
      <c r="D540" s="43"/>
      <c r="E540" s="44"/>
      <c r="F540" s="89"/>
      <c r="G540" s="77"/>
      <c r="H540" s="42"/>
      <c r="I540" s="43"/>
      <c r="J540" s="44"/>
      <c r="K540" s="89"/>
      <c r="L540" s="77"/>
      <c r="M540" s="30"/>
      <c r="N540" s="43"/>
      <c r="O540" s="44"/>
      <c r="P540" s="89"/>
      <c r="Q540" s="77"/>
      <c r="R540" s="30"/>
      <c r="S540" s="43"/>
      <c r="T540" s="44"/>
      <c r="U540" s="89"/>
      <c r="V540" s="77"/>
      <c r="W540" s="30"/>
      <c r="X540" s="43"/>
      <c r="Y540" s="44"/>
      <c r="Z540" s="89"/>
      <c r="AA540" s="77"/>
      <c r="AB540" s="42"/>
      <c r="AC540" s="46"/>
      <c r="AD540" s="75"/>
      <c r="AE540" s="44"/>
      <c r="AF540" s="80"/>
      <c r="AG540" s="77"/>
      <c r="AH540" s="32" t="e">
        <f>[1]Calc!$C$41/[1]Calc!$C$47</f>
        <v>#DIV/0!</v>
      </c>
      <c r="AI540" s="75"/>
      <c r="AJ540" s="44"/>
      <c r="AK540" s="80"/>
      <c r="AL540" s="77"/>
      <c r="AM540" s="32" t="e">
        <f>[1]Calc!$D$41/[1]Calc!$D$47</f>
        <v>#DIV/0!</v>
      </c>
      <c r="AN540" s="75"/>
      <c r="AO540" s="44"/>
      <c r="AP540" s="80"/>
      <c r="AQ540" s="77"/>
      <c r="AR540" s="32" t="e">
        <f>[1]Calc!$E$41/[1]Calc!$E$47</f>
        <v>#DIV/0!</v>
      </c>
      <c r="AS540" s="43"/>
      <c r="AT540" s="44"/>
      <c r="AU540" s="89"/>
      <c r="AV540" s="77"/>
      <c r="AW540" s="30"/>
      <c r="AX540" s="43"/>
      <c r="AY540" s="44"/>
      <c r="AZ540" s="89"/>
      <c r="BA540" s="77"/>
      <c r="BB540" s="9"/>
    </row>
    <row r="541" spans="1:54" x14ac:dyDescent="0.35">
      <c r="A541" s="54"/>
      <c r="B541" s="181" t="s">
        <v>184</v>
      </c>
      <c r="C541" s="74" t="s">
        <v>27</v>
      </c>
      <c r="D541" s="75" t="s">
        <v>185</v>
      </c>
      <c r="E541" s="44">
        <v>0.47409058559355222</v>
      </c>
      <c r="F541" s="80">
        <v>609.79606894964149</v>
      </c>
      <c r="G541" s="77">
        <v>289.09857542098166</v>
      </c>
      <c r="H541" s="74"/>
      <c r="I541" s="75" t="s">
        <v>185</v>
      </c>
      <c r="J541" s="76">
        <v>0.47409058559355222</v>
      </c>
      <c r="K541" s="89">
        <v>609.79606894964149</v>
      </c>
      <c r="L541" s="77">
        <v>289.09857542098166</v>
      </c>
      <c r="M541" s="30"/>
      <c r="N541" s="75"/>
      <c r="O541" s="76"/>
      <c r="P541" s="89"/>
      <c r="Q541" s="77">
        <v>0</v>
      </c>
      <c r="R541" s="30"/>
      <c r="S541" s="75"/>
      <c r="T541" s="76"/>
      <c r="U541" s="89"/>
      <c r="V541" s="77">
        <v>0</v>
      </c>
      <c r="W541" s="30"/>
      <c r="X541" s="75"/>
      <c r="Y541" s="76"/>
      <c r="Z541" s="89"/>
      <c r="AA541" s="77">
        <v>0</v>
      </c>
      <c r="AB541" s="74"/>
      <c r="AC541" s="46">
        <f>[1]Calc!$B$41/[1]Calc!$B$47</f>
        <v>0.26112326356821269</v>
      </c>
      <c r="AD541" s="75"/>
      <c r="AE541" s="44"/>
      <c r="AF541" s="80"/>
      <c r="AG541" s="77">
        <f>AC541*646.081</f>
        <v>168.70677924941444</v>
      </c>
      <c r="AH541" s="32" t="e">
        <f>[1]Calc!$C$41/[1]Calc!$C$47</f>
        <v>#DIV/0!</v>
      </c>
      <c r="AI541" s="75"/>
      <c r="AJ541" s="44"/>
      <c r="AK541" s="80"/>
      <c r="AL541" s="77"/>
      <c r="AM541" s="32" t="e">
        <f>[1]Calc!$D$41/[1]Calc!$D$47</f>
        <v>#DIV/0!</v>
      </c>
      <c r="AN541" s="75"/>
      <c r="AO541" s="44"/>
      <c r="AP541" s="80"/>
      <c r="AQ541" s="77"/>
      <c r="AR541" s="32" t="e">
        <f>[1]Calc!$E$41/[1]Calc!$E$47</f>
        <v>#DIV/0!</v>
      </c>
      <c r="AS541" s="75"/>
      <c r="AT541" s="76"/>
      <c r="AU541" s="89"/>
      <c r="AV541" s="77"/>
      <c r="AW541" s="30"/>
      <c r="AX541" s="75"/>
      <c r="AY541" s="44"/>
      <c r="AZ541" s="80"/>
      <c r="BA541" s="77">
        <f t="shared" ref="BA541:BA547" si="20">AG541+AL541+AQ541+AV541</f>
        <v>168.70677924941444</v>
      </c>
      <c r="BB541" s="9"/>
    </row>
    <row r="542" spans="1:54" x14ac:dyDescent="0.35">
      <c r="A542" s="54"/>
      <c r="B542" s="182" t="s">
        <v>186</v>
      </c>
      <c r="C542" s="74" t="s">
        <v>27</v>
      </c>
      <c r="D542" s="75" t="s">
        <v>187</v>
      </c>
      <c r="E542" s="44">
        <v>0.47409058559355222</v>
      </c>
      <c r="F542" s="80">
        <v>609.79606894964149</v>
      </c>
      <c r="G542" s="77">
        <v>289.09857542098166</v>
      </c>
      <c r="H542" s="74"/>
      <c r="I542" s="75" t="s">
        <v>187</v>
      </c>
      <c r="J542" s="76">
        <v>0.47409058559355222</v>
      </c>
      <c r="K542" s="89">
        <v>609.79606894964149</v>
      </c>
      <c r="L542" s="77">
        <v>289.09857542098166</v>
      </c>
      <c r="M542" s="30"/>
      <c r="N542" s="75"/>
      <c r="O542" s="76"/>
      <c r="P542" s="89"/>
      <c r="Q542" s="77">
        <v>0</v>
      </c>
      <c r="R542" s="30"/>
      <c r="S542" s="75"/>
      <c r="T542" s="76"/>
      <c r="U542" s="89"/>
      <c r="V542" s="77">
        <v>0</v>
      </c>
      <c r="W542" s="30"/>
      <c r="X542" s="75"/>
      <c r="Y542" s="76"/>
      <c r="Z542" s="89"/>
      <c r="AA542" s="77">
        <v>0</v>
      </c>
      <c r="AB542" s="74"/>
      <c r="AC542" s="46">
        <f>[1]Calc!$B$41/[1]Calc!$B$47</f>
        <v>0.26112326356821269</v>
      </c>
      <c r="AD542" s="75"/>
      <c r="AE542" s="44"/>
      <c r="AF542" s="80"/>
      <c r="AG542" s="77">
        <f>AC542*3950.724</f>
        <v>1031.6259443372635</v>
      </c>
      <c r="AH542" s="32" t="e">
        <f>[1]Calc!$C$41/[1]Calc!$C$47</f>
        <v>#DIV/0!</v>
      </c>
      <c r="AI542" s="75"/>
      <c r="AJ542" s="44"/>
      <c r="AK542" s="80"/>
      <c r="AL542" s="77"/>
      <c r="AM542" s="32" t="e">
        <f>[1]Calc!$D$41/[1]Calc!$D$47</f>
        <v>#DIV/0!</v>
      </c>
      <c r="AN542" s="75"/>
      <c r="AO542" s="44"/>
      <c r="AP542" s="80"/>
      <c r="AQ542" s="77"/>
      <c r="AR542" s="32" t="e">
        <f>[1]Calc!$E$41/[1]Calc!$E$47</f>
        <v>#DIV/0!</v>
      </c>
      <c r="AS542" s="75"/>
      <c r="AT542" s="76"/>
      <c r="AU542" s="89"/>
      <c r="AV542" s="77"/>
      <c r="AW542" s="30"/>
      <c r="AX542" s="75"/>
      <c r="AY542" s="44"/>
      <c r="AZ542" s="80"/>
      <c r="BA542" s="77">
        <f t="shared" si="20"/>
        <v>1031.6259443372635</v>
      </c>
      <c r="BB542" s="9"/>
    </row>
    <row r="543" spans="1:54" x14ac:dyDescent="0.35">
      <c r="A543" s="54"/>
      <c r="B543" s="181" t="s">
        <v>188</v>
      </c>
      <c r="C543" s="74" t="s">
        <v>27</v>
      </c>
      <c r="D543" s="75" t="s">
        <v>189</v>
      </c>
      <c r="E543" s="44">
        <v>0.15803019519785075</v>
      </c>
      <c r="F543" s="80">
        <v>4263.9803447482072</v>
      </c>
      <c r="G543" s="77">
        <v>673.83764620035811</v>
      </c>
      <c r="H543" s="74"/>
      <c r="I543" s="75" t="s">
        <v>189</v>
      </c>
      <c r="J543" s="76">
        <v>0.15803019519785075</v>
      </c>
      <c r="K543" s="89">
        <v>4263.9803447482072</v>
      </c>
      <c r="L543" s="77">
        <v>673.83764620035811</v>
      </c>
      <c r="M543" s="30"/>
      <c r="N543" s="75"/>
      <c r="O543" s="76"/>
      <c r="P543" s="89"/>
      <c r="Q543" s="77">
        <v>0</v>
      </c>
      <c r="R543" s="30"/>
      <c r="S543" s="75"/>
      <c r="T543" s="76"/>
      <c r="U543" s="89"/>
      <c r="V543" s="77">
        <v>0</v>
      </c>
      <c r="W543" s="30"/>
      <c r="X543" s="75"/>
      <c r="Y543" s="76"/>
      <c r="Z543" s="89"/>
      <c r="AA543" s="77">
        <v>0</v>
      </c>
      <c r="AB543" s="74"/>
      <c r="AC543" s="46">
        <f>[1]Calc!$B$41/[1]Calc!$B$47</f>
        <v>0.26112326356821269</v>
      </c>
      <c r="AD543" s="75"/>
      <c r="AE543" s="44"/>
      <c r="AF543" s="80"/>
      <c r="AG543" s="77">
        <f>AC543*4114.531</f>
        <v>1074.3997627725817</v>
      </c>
      <c r="AH543" s="32" t="e">
        <f>[1]Calc!$C$41/[1]Calc!$C$47</f>
        <v>#DIV/0!</v>
      </c>
      <c r="AI543" s="75"/>
      <c r="AJ543" s="44"/>
      <c r="AK543" s="80"/>
      <c r="AL543" s="77"/>
      <c r="AM543" s="32" t="e">
        <f>[1]Calc!$D$41/[1]Calc!$D$47</f>
        <v>#DIV/0!</v>
      </c>
      <c r="AN543" s="75"/>
      <c r="AO543" s="44"/>
      <c r="AP543" s="80"/>
      <c r="AQ543" s="77"/>
      <c r="AR543" s="32" t="e">
        <f>[1]Calc!$E$41/[1]Calc!$E$47</f>
        <v>#DIV/0!</v>
      </c>
      <c r="AS543" s="75"/>
      <c r="AT543" s="76"/>
      <c r="AU543" s="89"/>
      <c r="AV543" s="77"/>
      <c r="AW543" s="30"/>
      <c r="AX543" s="75"/>
      <c r="AY543" s="44"/>
      <c r="AZ543" s="80"/>
      <c r="BA543" s="77">
        <f t="shared" si="20"/>
        <v>1074.3997627725817</v>
      </c>
      <c r="BB543" s="9"/>
    </row>
    <row r="544" spans="1:54" x14ac:dyDescent="0.35">
      <c r="A544" s="54"/>
      <c r="B544" s="181" t="s">
        <v>190</v>
      </c>
      <c r="C544" s="74" t="s">
        <v>27</v>
      </c>
      <c r="D544" s="75" t="s">
        <v>189</v>
      </c>
      <c r="E544" s="44">
        <v>0.15803019519785075</v>
      </c>
      <c r="F544" s="80">
        <v>6097.9606894964154</v>
      </c>
      <c r="G544" s="77">
        <v>963.66191806993902</v>
      </c>
      <c r="H544" s="74"/>
      <c r="I544" s="75" t="s">
        <v>189</v>
      </c>
      <c r="J544" s="76">
        <v>0.15803019519785075</v>
      </c>
      <c r="K544" s="89">
        <v>6097.9606894964154</v>
      </c>
      <c r="L544" s="77">
        <v>963.66191806993902</v>
      </c>
      <c r="M544" s="30"/>
      <c r="N544" s="75"/>
      <c r="O544" s="76"/>
      <c r="P544" s="89"/>
      <c r="Q544" s="77">
        <v>0</v>
      </c>
      <c r="R544" s="30"/>
      <c r="S544" s="75"/>
      <c r="T544" s="76"/>
      <c r="U544" s="89"/>
      <c r="V544" s="77">
        <v>0</v>
      </c>
      <c r="W544" s="30"/>
      <c r="X544" s="75"/>
      <c r="Y544" s="76"/>
      <c r="Z544" s="89"/>
      <c r="AA544" s="77">
        <v>0</v>
      </c>
      <c r="AB544" s="74"/>
      <c r="AC544" s="46">
        <f>[1]Calc!$B$41/[1]Calc!$B$47</f>
        <v>0.26112326356821269</v>
      </c>
      <c r="AD544" s="75"/>
      <c r="AE544" s="44"/>
      <c r="AF544" s="80"/>
      <c r="AG544" s="77">
        <f>AC544*6605.755</f>
        <v>1724.9163039320388</v>
      </c>
      <c r="AH544" s="32" t="e">
        <f>[1]Calc!$C$41/[1]Calc!$C$47</f>
        <v>#DIV/0!</v>
      </c>
      <c r="AI544" s="75"/>
      <c r="AJ544" s="44"/>
      <c r="AK544" s="80"/>
      <c r="AL544" s="77"/>
      <c r="AM544" s="32" t="e">
        <f>[1]Calc!$D$41/[1]Calc!$D$47</f>
        <v>#DIV/0!</v>
      </c>
      <c r="AN544" s="75"/>
      <c r="AO544" s="44"/>
      <c r="AP544" s="80"/>
      <c r="AQ544" s="77"/>
      <c r="AR544" s="32" t="e">
        <f>[1]Calc!$E$41/[1]Calc!$E$47</f>
        <v>#DIV/0!</v>
      </c>
      <c r="AS544" s="75"/>
      <c r="AT544" s="76"/>
      <c r="AU544" s="89"/>
      <c r="AV544" s="77"/>
      <c r="AW544" s="30"/>
      <c r="AX544" s="75"/>
      <c r="AY544" s="44"/>
      <c r="AZ544" s="80"/>
      <c r="BA544" s="77">
        <f t="shared" si="20"/>
        <v>1724.9163039320388</v>
      </c>
      <c r="BB544" s="9"/>
    </row>
    <row r="545" spans="1:54" x14ac:dyDescent="0.35">
      <c r="A545" s="54"/>
      <c r="B545" s="181" t="s">
        <v>191</v>
      </c>
      <c r="C545" s="74" t="s">
        <v>27</v>
      </c>
      <c r="D545" s="75" t="s">
        <v>192</v>
      </c>
      <c r="E545" s="44">
        <v>0.15803019519785075</v>
      </c>
      <c r="F545" s="80">
        <v>4573.4705171223113</v>
      </c>
      <c r="G545" s="77">
        <v>722.74643855245426</v>
      </c>
      <c r="H545" s="74"/>
      <c r="I545" s="75" t="s">
        <v>192</v>
      </c>
      <c r="J545" s="76">
        <v>0.15803019519785075</v>
      </c>
      <c r="K545" s="89">
        <v>4573.4705171223113</v>
      </c>
      <c r="L545" s="77">
        <v>722.74643855245426</v>
      </c>
      <c r="M545" s="30"/>
      <c r="N545" s="75"/>
      <c r="O545" s="76"/>
      <c r="P545" s="89"/>
      <c r="Q545" s="77">
        <v>0</v>
      </c>
      <c r="R545" s="30"/>
      <c r="S545" s="75"/>
      <c r="T545" s="76"/>
      <c r="U545" s="89"/>
      <c r="V545" s="77">
        <v>0</v>
      </c>
      <c r="W545" s="30"/>
      <c r="X545" s="75"/>
      <c r="Y545" s="76"/>
      <c r="Z545" s="89"/>
      <c r="AA545" s="77">
        <v>0</v>
      </c>
      <c r="AB545" s="74"/>
      <c r="AC545" s="46">
        <f>[1]Calc!$B$41/[1]Calc!$B$47</f>
        <v>0.26112326356821269</v>
      </c>
      <c r="AD545" s="75"/>
      <c r="AE545" s="44"/>
      <c r="AF545" s="80"/>
      <c r="AG545" s="77">
        <f>AC545*6202.684</f>
        <v>1619.6650889623359</v>
      </c>
      <c r="AH545" s="32" t="e">
        <f>[1]Calc!$C$41/[1]Calc!$C$47</f>
        <v>#DIV/0!</v>
      </c>
      <c r="AI545" s="75"/>
      <c r="AJ545" s="44"/>
      <c r="AK545" s="80"/>
      <c r="AL545" s="77"/>
      <c r="AM545" s="32" t="e">
        <f>[1]Calc!$D$41/[1]Calc!$D$47</f>
        <v>#DIV/0!</v>
      </c>
      <c r="AN545" s="75"/>
      <c r="AO545" s="44"/>
      <c r="AP545" s="80"/>
      <c r="AQ545" s="77"/>
      <c r="AR545" s="32" t="e">
        <f>[1]Calc!$E$41/[1]Calc!$E$47</f>
        <v>#DIV/0!</v>
      </c>
      <c r="AS545" s="75"/>
      <c r="AT545" s="76"/>
      <c r="AU545" s="89"/>
      <c r="AV545" s="77"/>
      <c r="AW545" s="30"/>
      <c r="AX545" s="75"/>
      <c r="AY545" s="44"/>
      <c r="AZ545" s="80"/>
      <c r="BA545" s="77">
        <f t="shared" si="20"/>
        <v>1619.6650889623359</v>
      </c>
      <c r="BB545" s="9"/>
    </row>
    <row r="546" spans="1:54" x14ac:dyDescent="0.35">
      <c r="A546" s="54"/>
      <c r="B546" s="183" t="s">
        <v>193</v>
      </c>
      <c r="C546" s="87" t="s">
        <v>27</v>
      </c>
      <c r="D546" s="75" t="s">
        <v>194</v>
      </c>
      <c r="E546" s="44">
        <v>0.32869015417373176</v>
      </c>
      <c r="F546" s="80">
        <v>548.81646205467734</v>
      </c>
      <c r="G546" s="77">
        <v>180.39056752583389</v>
      </c>
      <c r="H546" s="87"/>
      <c r="I546" s="75" t="s">
        <v>194</v>
      </c>
      <c r="J546" s="184">
        <v>0.15803019519785075</v>
      </c>
      <c r="K546" s="147">
        <v>548.81646205467734</v>
      </c>
      <c r="L546" s="77">
        <v>86.729572626294512</v>
      </c>
      <c r="M546" s="30"/>
      <c r="N546" s="75" t="s">
        <v>194</v>
      </c>
      <c r="O546" s="184">
        <v>5.4301616339801712E-2</v>
      </c>
      <c r="P546" s="147">
        <v>548.81646205467734</v>
      </c>
      <c r="Q546" s="77">
        <v>29.801620963460433</v>
      </c>
      <c r="R546" s="30"/>
      <c r="S546" s="75" t="s">
        <v>194</v>
      </c>
      <c r="T546" s="184">
        <v>5.7974195263180088E-2</v>
      </c>
      <c r="U546" s="147">
        <v>548.81646205467734</v>
      </c>
      <c r="V546" s="77">
        <v>31.817192734805531</v>
      </c>
      <c r="W546" s="30"/>
      <c r="X546" s="75" t="s">
        <v>194</v>
      </c>
      <c r="Y546" s="184">
        <v>5.8384147372899209E-2</v>
      </c>
      <c r="Z546" s="147">
        <v>548.81646205467734</v>
      </c>
      <c r="AA546" s="77">
        <v>32.042181201273429</v>
      </c>
      <c r="AB546" s="87"/>
      <c r="AC546" s="46">
        <f>[1]Calc!$B$41/[1]Calc!$B$47</f>
        <v>0.26112326356821269</v>
      </c>
      <c r="AD546" s="75"/>
      <c r="AE546" s="44"/>
      <c r="AF546" s="80"/>
      <c r="AG546" s="77">
        <f>AC546*304.9</f>
        <v>79.616483061948045</v>
      </c>
      <c r="AH546" s="32" t="e">
        <f>[1]Calc!$C$41/[1]Calc!$C$47</f>
        <v>#DIV/0!</v>
      </c>
      <c r="AI546" s="75"/>
      <c r="AJ546" s="44"/>
      <c r="AK546" s="80"/>
      <c r="AL546" s="77"/>
      <c r="AM546" s="32" t="e">
        <f>[1]Calc!$D$41/[1]Calc!$D$47</f>
        <v>#DIV/0!</v>
      </c>
      <c r="AN546" s="75"/>
      <c r="AO546" s="44"/>
      <c r="AP546" s="80"/>
      <c r="AQ546" s="77"/>
      <c r="AR546" s="32" t="e">
        <f>[1]Calc!$E$41/[1]Calc!$E$47</f>
        <v>#DIV/0!</v>
      </c>
      <c r="AS546" s="75"/>
      <c r="AT546" s="184"/>
      <c r="AU546" s="147"/>
      <c r="AV546" s="77"/>
      <c r="AW546" s="30"/>
      <c r="AX546" s="75"/>
      <c r="AY546" s="44"/>
      <c r="AZ546" s="80"/>
      <c r="BA546" s="77">
        <f t="shared" si="20"/>
        <v>79.616483061948045</v>
      </c>
      <c r="BB546" s="9"/>
    </row>
    <row r="547" spans="1:54" x14ac:dyDescent="0.35">
      <c r="A547" s="54"/>
      <c r="B547" s="181" t="s">
        <v>195</v>
      </c>
      <c r="C547" s="74" t="s">
        <v>27</v>
      </c>
      <c r="D547" s="75" t="s">
        <v>103</v>
      </c>
      <c r="E547" s="44">
        <v>0.15803019519785075</v>
      </c>
      <c r="F547" s="80">
        <v>609.79606894964149</v>
      </c>
      <c r="G547" s="77">
        <v>96.366191806993896</v>
      </c>
      <c r="H547" s="74"/>
      <c r="I547" s="75" t="s">
        <v>103</v>
      </c>
      <c r="J547" s="76">
        <v>0.15803019519785075</v>
      </c>
      <c r="K547" s="89">
        <v>609.79606894964149</v>
      </c>
      <c r="L547" s="77">
        <v>96.366191806993896</v>
      </c>
      <c r="M547" s="30"/>
      <c r="N547" s="75"/>
      <c r="O547" s="76"/>
      <c r="P547" s="89"/>
      <c r="Q547" s="77">
        <v>0</v>
      </c>
      <c r="R547" s="30"/>
      <c r="S547" s="75"/>
      <c r="T547" s="76"/>
      <c r="U547" s="89"/>
      <c r="V547" s="77">
        <v>0</v>
      </c>
      <c r="W547" s="30"/>
      <c r="X547" s="75"/>
      <c r="Y547" s="76"/>
      <c r="Z547" s="89"/>
      <c r="AA547" s="77">
        <v>0</v>
      </c>
      <c r="AB547" s="74"/>
      <c r="AC547" s="46">
        <f>[1]Calc!$B$41/[1]Calc!$B$47</f>
        <v>0.26112326356821269</v>
      </c>
      <c r="AD547" s="75"/>
      <c r="AE547" s="44"/>
      <c r="AF547" s="80"/>
      <c r="AG547" s="77">
        <f>AC547*3923.298</f>
        <v>1024.4643777106417</v>
      </c>
      <c r="AH547" s="32" t="e">
        <f>[1]Calc!$C$41/[1]Calc!$C$47</f>
        <v>#DIV/0!</v>
      </c>
      <c r="AI547" s="75"/>
      <c r="AJ547" s="44"/>
      <c r="AK547" s="80"/>
      <c r="AL547" s="77"/>
      <c r="AM547" s="32" t="e">
        <f>[1]Calc!$D$41/[1]Calc!$D$47</f>
        <v>#DIV/0!</v>
      </c>
      <c r="AN547" s="75"/>
      <c r="AO547" s="44"/>
      <c r="AP547" s="80"/>
      <c r="AQ547" s="77"/>
      <c r="AR547" s="32" t="e">
        <f>[1]Calc!$E$41/[1]Calc!$E$47</f>
        <v>#DIV/0!</v>
      </c>
      <c r="AS547" s="75"/>
      <c r="AT547" s="76"/>
      <c r="AU547" s="89"/>
      <c r="AV547" s="77"/>
      <c r="AW547" s="30"/>
      <c r="AX547" s="75"/>
      <c r="AY547" s="44"/>
      <c r="AZ547" s="80"/>
      <c r="BA547" s="77">
        <f t="shared" si="20"/>
        <v>1024.4643777106417</v>
      </c>
      <c r="BB547" s="9"/>
    </row>
    <row r="548" spans="1:54" x14ac:dyDescent="0.35">
      <c r="A548" s="54"/>
      <c r="B548" s="55"/>
      <c r="C548" s="42"/>
      <c r="D548" s="43"/>
      <c r="E548" s="44"/>
      <c r="F548" s="89"/>
      <c r="G548" s="89"/>
      <c r="H548" s="42"/>
      <c r="I548" s="43"/>
      <c r="J548" s="44"/>
      <c r="K548" s="89"/>
      <c r="L548" s="89"/>
      <c r="M548" s="30"/>
      <c r="N548" s="43"/>
      <c r="O548" s="44"/>
      <c r="P548" s="89"/>
      <c r="Q548" s="89"/>
      <c r="R548" s="30"/>
      <c r="S548" s="43"/>
      <c r="T548" s="44"/>
      <c r="U548" s="89"/>
      <c r="V548" s="89"/>
      <c r="W548" s="30"/>
      <c r="X548" s="43"/>
      <c r="Y548" s="44"/>
      <c r="Z548" s="89"/>
      <c r="AA548" s="89"/>
      <c r="AB548" s="42"/>
      <c r="AC548" s="46"/>
      <c r="AD548" s="43"/>
      <c r="AE548" s="44"/>
      <c r="AF548" s="89"/>
      <c r="AG548" s="89"/>
      <c r="AH548" s="32"/>
      <c r="AI548" s="43"/>
      <c r="AJ548" s="44"/>
      <c r="AK548" s="89"/>
      <c r="AL548" s="89"/>
      <c r="AM548" s="32"/>
      <c r="AN548" s="43"/>
      <c r="AO548" s="44"/>
      <c r="AP548" s="89"/>
      <c r="AQ548" s="89"/>
      <c r="AR548" s="32"/>
      <c r="AS548" s="43"/>
      <c r="AT548" s="44"/>
      <c r="AU548" s="89"/>
      <c r="AV548" s="89"/>
      <c r="AW548" s="30"/>
      <c r="AX548" s="43"/>
      <c r="AY548" s="44"/>
      <c r="AZ548" s="89"/>
      <c r="BA548" s="89"/>
      <c r="BB548" s="9"/>
    </row>
    <row r="549" spans="1:54" x14ac:dyDescent="0.35">
      <c r="A549" s="54"/>
      <c r="B549" s="55" t="s">
        <v>196</v>
      </c>
      <c r="C549" s="42"/>
      <c r="D549" s="43"/>
      <c r="E549" s="44"/>
      <c r="F549" s="89"/>
      <c r="G549" s="89"/>
      <c r="H549" s="42"/>
      <c r="I549" s="43"/>
      <c r="J549" s="44"/>
      <c r="K549" s="89"/>
      <c r="L549" s="89"/>
      <c r="M549" s="30"/>
      <c r="N549" s="43"/>
      <c r="O549" s="44"/>
      <c r="P549" s="89"/>
      <c r="Q549" s="89"/>
      <c r="R549" s="30"/>
      <c r="S549" s="43"/>
      <c r="T549" s="44"/>
      <c r="U549" s="89"/>
      <c r="V549" s="89"/>
      <c r="W549" s="30"/>
      <c r="X549" s="43"/>
      <c r="Y549" s="44"/>
      <c r="Z549" s="89"/>
      <c r="AA549" s="89"/>
      <c r="AB549" s="42"/>
      <c r="AC549" s="46"/>
      <c r="AD549" s="43"/>
      <c r="AE549" s="44"/>
      <c r="AF549" s="89"/>
      <c r="AG549" s="89"/>
      <c r="AH549" s="32"/>
      <c r="AI549" s="43"/>
      <c r="AJ549" s="44"/>
      <c r="AK549" s="89"/>
      <c r="AL549" s="89"/>
      <c r="AM549" s="32"/>
      <c r="AN549" s="43"/>
      <c r="AO549" s="44"/>
      <c r="AP549" s="89"/>
      <c r="AQ549" s="89"/>
      <c r="AR549" s="32"/>
      <c r="AS549" s="43"/>
      <c r="AT549" s="44"/>
      <c r="AU549" s="89"/>
      <c r="AV549" s="89"/>
      <c r="AW549" s="30"/>
      <c r="AX549" s="43"/>
      <c r="AY549" s="44"/>
      <c r="AZ549" s="89"/>
      <c r="BA549" s="89"/>
      <c r="BB549" s="9"/>
    </row>
    <row r="550" spans="1:54" x14ac:dyDescent="0.35">
      <c r="A550" s="54" t="s">
        <v>348</v>
      </c>
      <c r="B550" s="180" t="s">
        <v>349</v>
      </c>
      <c r="C550" s="33"/>
      <c r="D550" s="43"/>
      <c r="E550" s="44"/>
      <c r="F550" s="56"/>
      <c r="G550" s="56"/>
      <c r="H550" s="33"/>
      <c r="I550" s="43"/>
      <c r="J550" s="44"/>
      <c r="K550" s="56"/>
      <c r="L550" s="56"/>
      <c r="M550" s="30"/>
      <c r="N550" s="43"/>
      <c r="O550" s="44"/>
      <c r="P550" s="56"/>
      <c r="Q550" s="56"/>
      <c r="R550" s="30"/>
      <c r="S550" s="43"/>
      <c r="T550" s="44"/>
      <c r="U550" s="56"/>
      <c r="V550" s="56"/>
      <c r="W550" s="30"/>
      <c r="X550" s="43"/>
      <c r="Y550" s="44"/>
      <c r="Z550" s="56"/>
      <c r="AA550" s="56"/>
      <c r="AB550" s="33"/>
      <c r="AC550" s="185"/>
      <c r="AD550" s="43"/>
      <c r="AE550" s="44"/>
      <c r="AF550" s="56"/>
      <c r="AG550" s="56"/>
      <c r="AH550" s="32"/>
      <c r="AI550" s="43"/>
      <c r="AJ550" s="44"/>
      <c r="AK550" s="56"/>
      <c r="AL550" s="56"/>
      <c r="AM550" s="32"/>
      <c r="AN550" s="43"/>
      <c r="AO550" s="44"/>
      <c r="AP550" s="56"/>
      <c r="AQ550" s="56"/>
      <c r="AR550" s="32"/>
      <c r="AS550" s="43"/>
      <c r="AT550" s="44"/>
      <c r="AU550" s="56"/>
      <c r="AV550" s="56"/>
      <c r="AW550" s="30"/>
      <c r="AX550" s="43"/>
      <c r="AY550" s="44"/>
      <c r="AZ550" s="56"/>
      <c r="BA550" s="56"/>
      <c r="BB550" s="9"/>
    </row>
    <row r="551" spans="1:54" ht="43.5" x14ac:dyDescent="0.35">
      <c r="A551" s="54"/>
      <c r="B551" s="342" t="s">
        <v>350</v>
      </c>
      <c r="C551" s="189"/>
      <c r="D551" s="190"/>
      <c r="E551" s="273"/>
      <c r="F551" s="192"/>
      <c r="G551" s="193">
        <f>SUM(G554:G555)</f>
        <v>6622.3853087931066</v>
      </c>
      <c r="H551" s="189"/>
      <c r="I551" s="190"/>
      <c r="J551" s="273"/>
      <c r="K551" s="192"/>
      <c r="L551" s="193">
        <f>SUM(L554:L555)</f>
        <v>6622.3853087931066</v>
      </c>
      <c r="M551" s="194"/>
      <c r="N551" s="190"/>
      <c r="O551" s="273"/>
      <c r="P551" s="192"/>
      <c r="Q551" s="193">
        <f>SUM(Q554:Q555)</f>
        <v>0</v>
      </c>
      <c r="R551" s="194"/>
      <c r="S551" s="190"/>
      <c r="T551" s="273"/>
      <c r="U551" s="192"/>
      <c r="V551" s="193">
        <f>SUM(V554:V555)</f>
        <v>0</v>
      </c>
      <c r="W551" s="194"/>
      <c r="X551" s="190"/>
      <c r="Y551" s="273"/>
      <c r="Z551" s="192"/>
      <c r="AA551" s="193">
        <f>SUM(AA554:AA555)</f>
        <v>0</v>
      </c>
      <c r="AB551" s="189"/>
      <c r="AC551" s="195"/>
      <c r="AD551" s="190"/>
      <c r="AE551" s="273"/>
      <c r="AF551" s="192"/>
      <c r="AG551" s="193">
        <v>6987.4810000000007</v>
      </c>
      <c r="AH551" s="196"/>
      <c r="AI551" s="190"/>
      <c r="AJ551" s="273"/>
      <c r="AK551" s="192"/>
      <c r="AL551" s="193"/>
      <c r="AM551" s="196"/>
      <c r="AN551" s="190"/>
      <c r="AO551" s="273"/>
      <c r="AP551" s="192"/>
      <c r="AQ551" s="193"/>
      <c r="AR551" s="196"/>
      <c r="AS551" s="190"/>
      <c r="AT551" s="273"/>
      <c r="AU551" s="192"/>
      <c r="AV551" s="193"/>
      <c r="AW551" s="194"/>
      <c r="AX551" s="190"/>
      <c r="AY551" s="273"/>
      <c r="AZ551" s="192"/>
      <c r="BA551" s="193">
        <f>AG551+AL551+AQ551+AV551</f>
        <v>6987.4810000000007</v>
      </c>
      <c r="BB551" s="9"/>
    </row>
    <row r="552" spans="1:54" hidden="1" x14ac:dyDescent="0.35">
      <c r="A552" s="54"/>
      <c r="B552" s="210" t="s">
        <v>202</v>
      </c>
      <c r="C552" s="42"/>
      <c r="D552" s="43"/>
      <c r="E552" s="44"/>
      <c r="F552" s="56"/>
      <c r="G552" s="56"/>
      <c r="H552" s="42"/>
      <c r="I552" s="43"/>
      <c r="J552" s="44"/>
      <c r="K552" s="56"/>
      <c r="L552" s="56"/>
      <c r="M552" s="30"/>
      <c r="N552" s="43"/>
      <c r="O552" s="44"/>
      <c r="P552" s="56"/>
      <c r="Q552" s="56"/>
      <c r="R552" s="30"/>
      <c r="S552" s="43"/>
      <c r="T552" s="44"/>
      <c r="U552" s="56"/>
      <c r="V552" s="56"/>
      <c r="W552" s="30"/>
      <c r="X552" s="43"/>
      <c r="Y552" s="44"/>
      <c r="Z552" s="56"/>
      <c r="AA552" s="56"/>
      <c r="AB552" s="42"/>
      <c r="AC552" s="46"/>
      <c r="AD552" s="43"/>
      <c r="AE552" s="44"/>
      <c r="AF552" s="56"/>
      <c r="AG552" s="56"/>
      <c r="AH552" s="32"/>
      <c r="AI552" s="43"/>
      <c r="AJ552" s="44"/>
      <c r="AK552" s="56"/>
      <c r="AL552" s="56"/>
      <c r="AM552" s="32"/>
      <c r="AN552" s="43"/>
      <c r="AO552" s="44"/>
      <c r="AP552" s="56"/>
      <c r="AQ552" s="56"/>
      <c r="AR552" s="32"/>
      <c r="AS552" s="43"/>
      <c r="AT552" s="44"/>
      <c r="AU552" s="56"/>
      <c r="AV552" s="56"/>
      <c r="AW552" s="30"/>
      <c r="AX552" s="43"/>
      <c r="AY552" s="44"/>
      <c r="AZ552" s="56"/>
      <c r="BA552" s="56"/>
      <c r="BB552" s="9"/>
    </row>
    <row r="553" spans="1:54" hidden="1" x14ac:dyDescent="0.35">
      <c r="A553" s="54"/>
      <c r="B553" s="55" t="s">
        <v>203</v>
      </c>
      <c r="C553" s="42"/>
      <c r="D553" s="43"/>
      <c r="E553" s="44"/>
      <c r="F553" s="56"/>
      <c r="G553" s="56"/>
      <c r="H553" s="42"/>
      <c r="I553" s="43"/>
      <c r="J553" s="44"/>
      <c r="K553" s="56"/>
      <c r="L553" s="56"/>
      <c r="M553" s="30"/>
      <c r="N553" s="43"/>
      <c r="O553" s="44"/>
      <c r="P553" s="56"/>
      <c r="Q553" s="56"/>
      <c r="R553" s="30"/>
      <c r="S553" s="43"/>
      <c r="T553" s="44"/>
      <c r="U553" s="56"/>
      <c r="V553" s="56"/>
      <c r="W553" s="30"/>
      <c r="X553" s="43"/>
      <c r="Y553" s="44"/>
      <c r="Z553" s="56"/>
      <c r="AA553" s="56"/>
      <c r="AB553" s="42"/>
      <c r="AC553" s="46"/>
      <c r="AD553" s="43"/>
      <c r="AE553" s="44"/>
      <c r="AF553" s="56"/>
      <c r="AG553" s="56"/>
      <c r="AH553" s="32"/>
      <c r="AI553" s="43"/>
      <c r="AJ553" s="44"/>
      <c r="AK553" s="56"/>
      <c r="AL553" s="56"/>
      <c r="AM553" s="32"/>
      <c r="AN553" s="43"/>
      <c r="AO553" s="44"/>
      <c r="AP553" s="56"/>
      <c r="AQ553" s="56"/>
      <c r="AR553" s="32"/>
      <c r="AS553" s="43"/>
      <c r="AT553" s="44"/>
      <c r="AU553" s="56"/>
      <c r="AV553" s="56"/>
      <c r="AW553" s="30"/>
      <c r="AX553" s="43"/>
      <c r="AY553" s="44"/>
      <c r="AZ553" s="56"/>
      <c r="BA553" s="56"/>
      <c r="BB553" s="9"/>
    </row>
    <row r="554" spans="1:54" x14ac:dyDescent="0.35">
      <c r="A554" s="54"/>
      <c r="B554" s="174" t="s">
        <v>351</v>
      </c>
      <c r="C554" s="290" t="s">
        <v>27</v>
      </c>
      <c r="D554" s="176" t="s">
        <v>56</v>
      </c>
      <c r="E554" s="197">
        <v>48</v>
      </c>
      <c r="F554" s="177">
        <v>46.496950257410163</v>
      </c>
      <c r="G554" s="177">
        <v>2231.8536123556878</v>
      </c>
      <c r="H554" s="290"/>
      <c r="I554" s="176" t="s">
        <v>56</v>
      </c>
      <c r="J554" s="343">
        <v>48</v>
      </c>
      <c r="K554" s="307">
        <v>46.496950257410163</v>
      </c>
      <c r="L554" s="146">
        <v>2231.8536123556878</v>
      </c>
      <c r="M554" s="178"/>
      <c r="N554" s="176"/>
      <c r="O554" s="343"/>
      <c r="P554" s="307"/>
      <c r="Q554" s="146"/>
      <c r="R554" s="30"/>
      <c r="S554" s="176"/>
      <c r="T554" s="343"/>
      <c r="U554" s="307"/>
      <c r="V554" s="146"/>
      <c r="W554" s="30"/>
      <c r="X554" s="176"/>
      <c r="Y554" s="343"/>
      <c r="Z554" s="307"/>
      <c r="AA554" s="146"/>
      <c r="AB554" s="290"/>
      <c r="AC554" s="218"/>
      <c r="AD554" s="176"/>
      <c r="AE554" s="343"/>
      <c r="AF554" s="307"/>
      <c r="AG554" s="146"/>
      <c r="AH554" s="200"/>
      <c r="AI554" s="176"/>
      <c r="AJ554" s="343"/>
      <c r="AK554" s="307"/>
      <c r="AL554" s="146"/>
      <c r="AM554" s="32"/>
      <c r="AN554" s="176"/>
      <c r="AO554" s="343"/>
      <c r="AP554" s="307"/>
      <c r="AQ554" s="146"/>
      <c r="AR554" s="32"/>
      <c r="AS554" s="176"/>
      <c r="AT554" s="343"/>
      <c r="AU554" s="307"/>
      <c r="AV554" s="146"/>
      <c r="AW554" s="30"/>
      <c r="AX554" s="176"/>
      <c r="AY554" s="197"/>
      <c r="AZ554" s="177"/>
      <c r="BA554" s="177">
        <f t="shared" ref="BA554:BA608" si="21">AG554+AL554+AQ554+AV554</f>
        <v>0</v>
      </c>
      <c r="BB554" s="9"/>
    </row>
    <row r="555" spans="1:54" x14ac:dyDescent="0.35">
      <c r="A555" s="54"/>
      <c r="B555" s="174" t="s">
        <v>352</v>
      </c>
      <c r="C555" s="290" t="s">
        <v>27</v>
      </c>
      <c r="D555" s="176" t="s">
        <v>56</v>
      </c>
      <c r="E555" s="197">
        <v>48</v>
      </c>
      <c r="F555" s="177">
        <v>91.469410342446224</v>
      </c>
      <c r="G555" s="177">
        <v>4390.5316964374188</v>
      </c>
      <c r="H555" s="290"/>
      <c r="I555" s="176" t="s">
        <v>56</v>
      </c>
      <c r="J555" s="343">
        <v>48</v>
      </c>
      <c r="K555" s="307">
        <v>91.469410342446224</v>
      </c>
      <c r="L555" s="146">
        <v>4390.5316964374188</v>
      </c>
      <c r="M555" s="178"/>
      <c r="N555" s="176"/>
      <c r="O555" s="343"/>
      <c r="P555" s="307"/>
      <c r="Q555" s="146"/>
      <c r="R555" s="30"/>
      <c r="S555" s="176"/>
      <c r="T555" s="343"/>
      <c r="U555" s="307"/>
      <c r="V555" s="146"/>
      <c r="W555" s="30"/>
      <c r="X555" s="176"/>
      <c r="Y555" s="343"/>
      <c r="Z555" s="307"/>
      <c r="AA555" s="146"/>
      <c r="AB555" s="290"/>
      <c r="AC555" s="218"/>
      <c r="AD555" s="176"/>
      <c r="AE555" s="343"/>
      <c r="AF555" s="307"/>
      <c r="AG555" s="146"/>
      <c r="AH555" s="200"/>
      <c r="AI555" s="176"/>
      <c r="AJ555" s="343"/>
      <c r="AK555" s="307"/>
      <c r="AL555" s="146"/>
      <c r="AM555" s="32"/>
      <c r="AN555" s="176"/>
      <c r="AO555" s="343"/>
      <c r="AP555" s="307"/>
      <c r="AQ555" s="146"/>
      <c r="AR555" s="32"/>
      <c r="AS555" s="176"/>
      <c r="AT555" s="343"/>
      <c r="AU555" s="307"/>
      <c r="AV555" s="146"/>
      <c r="AW555" s="30"/>
      <c r="AX555" s="176"/>
      <c r="AY555" s="197"/>
      <c r="AZ555" s="177"/>
      <c r="BA555" s="177">
        <f t="shared" si="21"/>
        <v>0</v>
      </c>
      <c r="BB555" s="9"/>
    </row>
    <row r="556" spans="1:54" hidden="1" x14ac:dyDescent="0.35">
      <c r="A556" s="54"/>
      <c r="B556" s="55" t="s">
        <v>211</v>
      </c>
      <c r="C556" s="216"/>
      <c r="D556" s="176"/>
      <c r="E556" s="197">
        <v>0</v>
      </c>
      <c r="F556" s="177">
        <v>0</v>
      </c>
      <c r="G556" s="177">
        <v>0</v>
      </c>
      <c r="H556" s="216"/>
      <c r="I556" s="176"/>
      <c r="J556" s="343"/>
      <c r="K556" s="307"/>
      <c r="L556" s="146"/>
      <c r="M556" s="178"/>
      <c r="N556" s="176"/>
      <c r="O556" s="343"/>
      <c r="P556" s="307"/>
      <c r="Q556" s="146"/>
      <c r="R556" s="30"/>
      <c r="S556" s="176"/>
      <c r="T556" s="343"/>
      <c r="U556" s="307"/>
      <c r="V556" s="146"/>
      <c r="W556" s="30"/>
      <c r="X556" s="176"/>
      <c r="Y556" s="343"/>
      <c r="Z556" s="307"/>
      <c r="AA556" s="146"/>
      <c r="AB556" s="216"/>
      <c r="AC556" s="218"/>
      <c r="AD556" s="176"/>
      <c r="AE556" s="343"/>
      <c r="AF556" s="307"/>
      <c r="AG556" s="146"/>
      <c r="AH556" s="200"/>
      <c r="AI556" s="176"/>
      <c r="AJ556" s="343"/>
      <c r="AK556" s="307"/>
      <c r="AL556" s="146"/>
      <c r="AM556" s="32"/>
      <c r="AN556" s="176"/>
      <c r="AO556" s="343"/>
      <c r="AP556" s="307"/>
      <c r="AQ556" s="146"/>
      <c r="AR556" s="32"/>
      <c r="AS556" s="176"/>
      <c r="AT556" s="343"/>
      <c r="AU556" s="307"/>
      <c r="AV556" s="146"/>
      <c r="AW556" s="30"/>
      <c r="AX556" s="176"/>
      <c r="AY556" s="197"/>
      <c r="AZ556" s="177"/>
      <c r="BA556" s="177">
        <f t="shared" si="21"/>
        <v>0</v>
      </c>
      <c r="BB556" s="9"/>
    </row>
    <row r="557" spans="1:54" hidden="1" x14ac:dyDescent="0.35">
      <c r="A557" s="54"/>
      <c r="B557" s="174" t="s">
        <v>246</v>
      </c>
      <c r="C557" s="216"/>
      <c r="D557" s="199"/>
      <c r="E557" s="197">
        <v>0</v>
      </c>
      <c r="F557" s="177">
        <v>0</v>
      </c>
      <c r="G557" s="177">
        <v>0</v>
      </c>
      <c r="H557" s="216"/>
      <c r="I557" s="176"/>
      <c r="J557" s="234"/>
      <c r="K557" s="146"/>
      <c r="L557" s="146"/>
      <c r="M557" s="178"/>
      <c r="N557" s="199"/>
      <c r="O557" s="197"/>
      <c r="P557" s="146"/>
      <c r="Q557" s="146"/>
      <c r="R557" s="30"/>
      <c r="S557" s="199"/>
      <c r="T557" s="197"/>
      <c r="U557" s="146"/>
      <c r="V557" s="146"/>
      <c r="W557" s="30"/>
      <c r="X557" s="199"/>
      <c r="Y557" s="197"/>
      <c r="Z557" s="146"/>
      <c r="AA557" s="146"/>
      <c r="AB557" s="216"/>
      <c r="AC557" s="218"/>
      <c r="AD557" s="176"/>
      <c r="AE557" s="234"/>
      <c r="AF557" s="146"/>
      <c r="AG557" s="146"/>
      <c r="AH557" s="200"/>
      <c r="AI557" s="199"/>
      <c r="AJ557" s="197"/>
      <c r="AK557" s="146"/>
      <c r="AL557" s="146"/>
      <c r="AM557" s="32"/>
      <c r="AN557" s="199"/>
      <c r="AO557" s="197"/>
      <c r="AP557" s="146"/>
      <c r="AQ557" s="146"/>
      <c r="AR557" s="32"/>
      <c r="AS557" s="199"/>
      <c r="AT557" s="197"/>
      <c r="AU557" s="146"/>
      <c r="AV557" s="146"/>
      <c r="AW557" s="30"/>
      <c r="AX557" s="199"/>
      <c r="AY557" s="197"/>
      <c r="AZ557" s="177"/>
      <c r="BA557" s="177">
        <f t="shared" si="21"/>
        <v>0</v>
      </c>
      <c r="BB557" s="9"/>
    </row>
    <row r="558" spans="1:54" ht="58" x14ac:dyDescent="0.35">
      <c r="A558" s="54"/>
      <c r="B558" s="342" t="s">
        <v>353</v>
      </c>
      <c r="C558" s="189"/>
      <c r="D558" s="202"/>
      <c r="E558" s="203">
        <v>0</v>
      </c>
      <c r="F558" s="204">
        <v>0</v>
      </c>
      <c r="G558" s="204">
        <f>SUM(G559:G565)</f>
        <v>4169.4772748737951</v>
      </c>
      <c r="H558" s="189"/>
      <c r="I558" s="202"/>
      <c r="J558" s="253"/>
      <c r="K558" s="254"/>
      <c r="L558" s="206">
        <f>SUM(L559:L565)</f>
        <v>0</v>
      </c>
      <c r="M558" s="207"/>
      <c r="N558" s="202"/>
      <c r="O558" s="253"/>
      <c r="P558" s="254"/>
      <c r="Q558" s="206">
        <f>SUM(Q559:Q565)</f>
        <v>4169.4772748737951</v>
      </c>
      <c r="R558" s="194"/>
      <c r="S558" s="202"/>
      <c r="T558" s="203"/>
      <c r="U558" s="206"/>
      <c r="V558" s="206">
        <f>SUM(V559:V565)</f>
        <v>0</v>
      </c>
      <c r="W558" s="194"/>
      <c r="X558" s="202"/>
      <c r="Y558" s="203"/>
      <c r="Z558" s="206"/>
      <c r="AA558" s="206">
        <f>SUM(AA559:AA565)</f>
        <v>0</v>
      </c>
      <c r="AB558" s="189"/>
      <c r="AC558" s="195"/>
      <c r="AD558" s="202"/>
      <c r="AE558" s="253"/>
      <c r="AF558" s="254"/>
      <c r="AG558" s="206">
        <v>3103.8789999999995</v>
      </c>
      <c r="AH558" s="209"/>
      <c r="AI558" s="202"/>
      <c r="AJ558" s="253"/>
      <c r="AK558" s="254"/>
      <c r="AL558" s="206"/>
      <c r="AM558" s="196"/>
      <c r="AN558" s="202"/>
      <c r="AO558" s="203"/>
      <c r="AP558" s="206"/>
      <c r="AQ558" s="206"/>
      <c r="AR558" s="196"/>
      <c r="AS558" s="202"/>
      <c r="AT558" s="203"/>
      <c r="AU558" s="206"/>
      <c r="AV558" s="206"/>
      <c r="AW558" s="194"/>
      <c r="AX558" s="202"/>
      <c r="AY558" s="203"/>
      <c r="AZ558" s="204"/>
      <c r="BA558" s="204">
        <f t="shared" si="21"/>
        <v>3103.8789999999995</v>
      </c>
      <c r="BB558" s="9"/>
    </row>
    <row r="559" spans="1:54" x14ac:dyDescent="0.35">
      <c r="A559" s="54"/>
      <c r="B559" s="210" t="s">
        <v>202</v>
      </c>
      <c r="C559" s="42"/>
      <c r="D559" s="199"/>
      <c r="E559" s="197">
        <v>0</v>
      </c>
      <c r="F559" s="177">
        <v>0</v>
      </c>
      <c r="G559" s="177">
        <v>0</v>
      </c>
      <c r="H559" s="42"/>
      <c r="I559" s="199"/>
      <c r="J559" s="197"/>
      <c r="K559" s="146"/>
      <c r="L559" s="146"/>
      <c r="M559" s="178"/>
      <c r="N559" s="199"/>
      <c r="O559" s="197"/>
      <c r="P559" s="146"/>
      <c r="Q559" s="146"/>
      <c r="R559" s="30"/>
      <c r="S559" s="199"/>
      <c r="T559" s="197"/>
      <c r="U559" s="146"/>
      <c r="V559" s="146"/>
      <c r="W559" s="30"/>
      <c r="X559" s="199"/>
      <c r="Y559" s="197"/>
      <c r="Z559" s="146"/>
      <c r="AA559" s="146"/>
      <c r="AB559" s="42"/>
      <c r="AC559" s="46"/>
      <c r="AD559" s="199"/>
      <c r="AE559" s="197"/>
      <c r="AF559" s="146"/>
      <c r="AG559" s="146"/>
      <c r="AH559" s="200"/>
      <c r="AI559" s="199"/>
      <c r="AJ559" s="197"/>
      <c r="AK559" s="146"/>
      <c r="AL559" s="146"/>
      <c r="AM559" s="32"/>
      <c r="AN559" s="199"/>
      <c r="AO559" s="197"/>
      <c r="AP559" s="146"/>
      <c r="AQ559" s="146"/>
      <c r="AR559" s="32"/>
      <c r="AS559" s="199"/>
      <c r="AT559" s="197"/>
      <c r="AU559" s="146"/>
      <c r="AV559" s="146"/>
      <c r="AW559" s="30"/>
      <c r="AX559" s="199"/>
      <c r="AY559" s="197"/>
      <c r="AZ559" s="177"/>
      <c r="BA559" s="177">
        <f t="shared" si="21"/>
        <v>0</v>
      </c>
      <c r="BB559" s="9"/>
    </row>
    <row r="560" spans="1:54" x14ac:dyDescent="0.35">
      <c r="A560" s="54"/>
      <c r="B560" s="55" t="s">
        <v>203</v>
      </c>
      <c r="C560" s="42"/>
      <c r="D560" s="199"/>
      <c r="E560" s="197">
        <v>0</v>
      </c>
      <c r="F560" s="177">
        <v>0</v>
      </c>
      <c r="G560" s="177">
        <v>0</v>
      </c>
      <c r="H560" s="42"/>
      <c r="I560" s="199"/>
      <c r="J560" s="197"/>
      <c r="K560" s="146"/>
      <c r="L560" s="146"/>
      <c r="M560" s="178"/>
      <c r="N560" s="199"/>
      <c r="O560" s="197"/>
      <c r="P560" s="146"/>
      <c r="Q560" s="146"/>
      <c r="R560" s="30"/>
      <c r="S560" s="199"/>
      <c r="T560" s="197"/>
      <c r="U560" s="146"/>
      <c r="V560" s="146"/>
      <c r="W560" s="30"/>
      <c r="X560" s="199"/>
      <c r="Y560" s="197"/>
      <c r="Z560" s="146"/>
      <c r="AA560" s="146"/>
      <c r="AB560" s="42"/>
      <c r="AC560" s="46"/>
      <c r="AD560" s="199"/>
      <c r="AE560" s="197"/>
      <c r="AF560" s="146"/>
      <c r="AG560" s="146"/>
      <c r="AH560" s="200"/>
      <c r="AI560" s="199"/>
      <c r="AJ560" s="197"/>
      <c r="AK560" s="146"/>
      <c r="AL560" s="146"/>
      <c r="AM560" s="32"/>
      <c r="AN560" s="199"/>
      <c r="AO560" s="197"/>
      <c r="AP560" s="146"/>
      <c r="AQ560" s="146"/>
      <c r="AR560" s="32"/>
      <c r="AS560" s="199"/>
      <c r="AT560" s="197"/>
      <c r="AU560" s="146"/>
      <c r="AV560" s="146"/>
      <c r="AW560" s="30"/>
      <c r="AX560" s="199"/>
      <c r="AY560" s="197"/>
      <c r="AZ560" s="177"/>
      <c r="BA560" s="177">
        <f t="shared" si="21"/>
        <v>0</v>
      </c>
      <c r="BB560" s="9"/>
    </row>
    <row r="561" spans="1:54" x14ac:dyDescent="0.35">
      <c r="A561" s="54"/>
      <c r="B561" s="174" t="s">
        <v>204</v>
      </c>
      <c r="C561" s="87" t="s">
        <v>201</v>
      </c>
      <c r="D561" s="176" t="s">
        <v>56</v>
      </c>
      <c r="E561" s="197">
        <v>75</v>
      </c>
      <c r="F561" s="177">
        <v>41.161234654100802</v>
      </c>
      <c r="G561" s="177">
        <v>3087.0925990575602</v>
      </c>
      <c r="H561" s="87"/>
      <c r="I561" s="176" t="s">
        <v>56</v>
      </c>
      <c r="J561" s="197"/>
      <c r="K561" s="146">
        <v>41.161234654100802</v>
      </c>
      <c r="L561" s="146">
        <v>0</v>
      </c>
      <c r="M561" s="178"/>
      <c r="N561" s="176" t="s">
        <v>56</v>
      </c>
      <c r="O561" s="197">
        <v>75</v>
      </c>
      <c r="P561" s="146">
        <v>41.161234654100802</v>
      </c>
      <c r="Q561" s="146">
        <v>3087.0925990575602</v>
      </c>
      <c r="R561" s="30"/>
      <c r="S561" s="199"/>
      <c r="T561" s="197"/>
      <c r="U561" s="146"/>
      <c r="V561" s="146"/>
      <c r="W561" s="30"/>
      <c r="X561" s="199"/>
      <c r="Y561" s="197"/>
      <c r="Z561" s="146"/>
      <c r="AA561" s="146"/>
      <c r="AB561" s="87"/>
      <c r="AC561" s="90"/>
      <c r="AD561" s="176"/>
      <c r="AE561" s="197"/>
      <c r="AF561" s="146"/>
      <c r="AG561" s="146"/>
      <c r="AH561" s="200"/>
      <c r="AI561" s="176"/>
      <c r="AJ561" s="197"/>
      <c r="AK561" s="146"/>
      <c r="AL561" s="146"/>
      <c r="AM561" s="32"/>
      <c r="AN561" s="199"/>
      <c r="AO561" s="197"/>
      <c r="AP561" s="146"/>
      <c r="AQ561" s="146"/>
      <c r="AR561" s="32"/>
      <c r="AS561" s="199"/>
      <c r="AT561" s="197"/>
      <c r="AU561" s="146"/>
      <c r="AV561" s="146"/>
      <c r="AW561" s="30"/>
      <c r="AX561" s="176"/>
      <c r="AY561" s="197"/>
      <c r="AZ561" s="177"/>
      <c r="BA561" s="177">
        <f t="shared" si="21"/>
        <v>0</v>
      </c>
      <c r="BB561" s="9"/>
    </row>
    <row r="562" spans="1:54" x14ac:dyDescent="0.35">
      <c r="A562" s="54"/>
      <c r="B562" s="174" t="s">
        <v>354</v>
      </c>
      <c r="C562" s="87" t="s">
        <v>201</v>
      </c>
      <c r="D562" s="176" t="s">
        <v>56</v>
      </c>
      <c r="E562" s="197">
        <v>25</v>
      </c>
      <c r="F562" s="177">
        <v>19.818372240863351</v>
      </c>
      <c r="G562" s="177">
        <v>495.45930602158376</v>
      </c>
      <c r="H562" s="87"/>
      <c r="I562" s="176" t="s">
        <v>56</v>
      </c>
      <c r="J562" s="197"/>
      <c r="K562" s="146">
        <v>19.818372240863351</v>
      </c>
      <c r="L562" s="146">
        <v>0</v>
      </c>
      <c r="M562" s="178"/>
      <c r="N562" s="176" t="s">
        <v>56</v>
      </c>
      <c r="O562" s="197">
        <v>25</v>
      </c>
      <c r="P562" s="146">
        <v>19.818372240863351</v>
      </c>
      <c r="Q562" s="146">
        <v>495.45930602158376</v>
      </c>
      <c r="R562" s="30"/>
      <c r="S562" s="199"/>
      <c r="T562" s="197"/>
      <c r="U562" s="146"/>
      <c r="V562" s="146"/>
      <c r="W562" s="30"/>
      <c r="X562" s="199"/>
      <c r="Y562" s="197"/>
      <c r="Z562" s="146"/>
      <c r="AA562" s="146"/>
      <c r="AB562" s="87"/>
      <c r="AC562" s="90"/>
      <c r="AD562" s="176"/>
      <c r="AE562" s="197"/>
      <c r="AF562" s="146"/>
      <c r="AG562" s="146"/>
      <c r="AH562" s="200"/>
      <c r="AI562" s="176"/>
      <c r="AJ562" s="197"/>
      <c r="AK562" s="146"/>
      <c r="AL562" s="146"/>
      <c r="AM562" s="32"/>
      <c r="AN562" s="199"/>
      <c r="AO562" s="197"/>
      <c r="AP562" s="146"/>
      <c r="AQ562" s="146"/>
      <c r="AR562" s="32"/>
      <c r="AS562" s="199"/>
      <c r="AT562" s="197"/>
      <c r="AU562" s="146"/>
      <c r="AV562" s="146"/>
      <c r="AW562" s="30"/>
      <c r="AX562" s="176"/>
      <c r="AY562" s="197"/>
      <c r="AZ562" s="177"/>
      <c r="BA562" s="177">
        <f t="shared" si="21"/>
        <v>0</v>
      </c>
      <c r="BB562" s="9"/>
    </row>
    <row r="563" spans="1:54" x14ac:dyDescent="0.35">
      <c r="A563" s="54"/>
      <c r="B563" s="55" t="s">
        <v>205</v>
      </c>
      <c r="C563" s="87" t="s">
        <v>201</v>
      </c>
      <c r="D563" s="176" t="s">
        <v>70</v>
      </c>
      <c r="E563" s="197">
        <v>25</v>
      </c>
      <c r="F563" s="177">
        <v>1.5244901723741038</v>
      </c>
      <c r="G563" s="177">
        <v>38.112254309352593</v>
      </c>
      <c r="H563" s="87"/>
      <c r="I563" s="176" t="s">
        <v>70</v>
      </c>
      <c r="J563" s="197"/>
      <c r="K563" s="146">
        <v>1.5244901723741038</v>
      </c>
      <c r="L563" s="146">
        <v>0</v>
      </c>
      <c r="M563" s="178"/>
      <c r="N563" s="176" t="s">
        <v>70</v>
      </c>
      <c r="O563" s="197">
        <v>25</v>
      </c>
      <c r="P563" s="146">
        <v>1.5244901723741038</v>
      </c>
      <c r="Q563" s="146">
        <v>38.112254309352593</v>
      </c>
      <c r="R563" s="30"/>
      <c r="S563" s="199"/>
      <c r="T563" s="197"/>
      <c r="U563" s="146"/>
      <c r="V563" s="146"/>
      <c r="W563" s="30"/>
      <c r="X563" s="199"/>
      <c r="Y563" s="197"/>
      <c r="Z563" s="146"/>
      <c r="AA563" s="146"/>
      <c r="AB563" s="87"/>
      <c r="AC563" s="90"/>
      <c r="AD563" s="176"/>
      <c r="AE563" s="197"/>
      <c r="AF563" s="146"/>
      <c r="AG563" s="146"/>
      <c r="AH563" s="200"/>
      <c r="AI563" s="176"/>
      <c r="AJ563" s="197"/>
      <c r="AK563" s="146"/>
      <c r="AL563" s="146"/>
      <c r="AM563" s="32"/>
      <c r="AN563" s="199"/>
      <c r="AO563" s="197"/>
      <c r="AP563" s="146"/>
      <c r="AQ563" s="146"/>
      <c r="AR563" s="32"/>
      <c r="AS563" s="199"/>
      <c r="AT563" s="197"/>
      <c r="AU563" s="146"/>
      <c r="AV563" s="146"/>
      <c r="AW563" s="30"/>
      <c r="AX563" s="176"/>
      <c r="AY563" s="197"/>
      <c r="AZ563" s="177"/>
      <c r="BA563" s="177">
        <f t="shared" si="21"/>
        <v>0</v>
      </c>
      <c r="BB563" s="9"/>
    </row>
    <row r="564" spans="1:54" x14ac:dyDescent="0.35">
      <c r="A564" s="54"/>
      <c r="B564" s="174" t="s">
        <v>206</v>
      </c>
      <c r="C564" s="87" t="s">
        <v>201</v>
      </c>
      <c r="D564" s="176" t="s">
        <v>207</v>
      </c>
      <c r="E564" s="197">
        <v>35</v>
      </c>
      <c r="F564" s="177">
        <v>12.19592137899283</v>
      </c>
      <c r="G564" s="177">
        <v>426.85724826474905</v>
      </c>
      <c r="H564" s="87"/>
      <c r="I564" s="176" t="s">
        <v>207</v>
      </c>
      <c r="J564" s="197"/>
      <c r="K564" s="146">
        <v>12.19592137899283</v>
      </c>
      <c r="L564" s="146">
        <v>0</v>
      </c>
      <c r="M564" s="178"/>
      <c r="N564" s="176" t="s">
        <v>207</v>
      </c>
      <c r="O564" s="197">
        <v>35</v>
      </c>
      <c r="P564" s="146">
        <v>12.19592137899283</v>
      </c>
      <c r="Q564" s="146">
        <v>426.85724826474905</v>
      </c>
      <c r="R564" s="30"/>
      <c r="S564" s="199"/>
      <c r="T564" s="197"/>
      <c r="U564" s="146"/>
      <c r="V564" s="146"/>
      <c r="W564" s="30"/>
      <c r="X564" s="199"/>
      <c r="Y564" s="197"/>
      <c r="Z564" s="146"/>
      <c r="AA564" s="146"/>
      <c r="AB564" s="87"/>
      <c r="AC564" s="90"/>
      <c r="AD564" s="176"/>
      <c r="AE564" s="197"/>
      <c r="AF564" s="146"/>
      <c r="AG564" s="146"/>
      <c r="AH564" s="200"/>
      <c r="AI564" s="176"/>
      <c r="AJ564" s="197"/>
      <c r="AK564" s="146"/>
      <c r="AL564" s="146"/>
      <c r="AM564" s="32"/>
      <c r="AN564" s="199"/>
      <c r="AO564" s="197"/>
      <c r="AP564" s="146"/>
      <c r="AQ564" s="146"/>
      <c r="AR564" s="32"/>
      <c r="AS564" s="199"/>
      <c r="AT564" s="197"/>
      <c r="AU564" s="146"/>
      <c r="AV564" s="146"/>
      <c r="AW564" s="30"/>
      <c r="AX564" s="176"/>
      <c r="AY564" s="197"/>
      <c r="AZ564" s="177"/>
      <c r="BA564" s="177">
        <f t="shared" si="21"/>
        <v>0</v>
      </c>
      <c r="BB564" s="9"/>
    </row>
    <row r="565" spans="1:54" x14ac:dyDescent="0.35">
      <c r="A565" s="54"/>
      <c r="B565" s="174" t="s">
        <v>355</v>
      </c>
      <c r="C565" s="87" t="s">
        <v>201</v>
      </c>
      <c r="D565" s="176" t="s">
        <v>56</v>
      </c>
      <c r="E565" s="197">
        <v>1</v>
      </c>
      <c r="F565" s="177">
        <v>121.95586722054956</v>
      </c>
      <c r="G565" s="177">
        <v>121.95586722054956</v>
      </c>
      <c r="H565" s="87"/>
      <c r="I565" s="176" t="s">
        <v>56</v>
      </c>
      <c r="J565" s="197"/>
      <c r="K565" s="146">
        <v>121.95586722054956</v>
      </c>
      <c r="L565" s="146">
        <v>0</v>
      </c>
      <c r="M565" s="178"/>
      <c r="N565" s="176" t="s">
        <v>56</v>
      </c>
      <c r="O565" s="197">
        <v>1</v>
      </c>
      <c r="P565" s="146">
        <v>121.95586722054956</v>
      </c>
      <c r="Q565" s="146">
        <v>121.95586722054956</v>
      </c>
      <c r="R565" s="30"/>
      <c r="S565" s="199"/>
      <c r="T565" s="197"/>
      <c r="U565" s="146"/>
      <c r="V565" s="146"/>
      <c r="W565" s="30"/>
      <c r="X565" s="199"/>
      <c r="Y565" s="197"/>
      <c r="Z565" s="146"/>
      <c r="AA565" s="146"/>
      <c r="AB565" s="87"/>
      <c r="AC565" s="90"/>
      <c r="AD565" s="176"/>
      <c r="AE565" s="197"/>
      <c r="AF565" s="146"/>
      <c r="AG565" s="146"/>
      <c r="AH565" s="200"/>
      <c r="AI565" s="176"/>
      <c r="AJ565" s="197"/>
      <c r="AK565" s="146"/>
      <c r="AL565" s="146"/>
      <c r="AM565" s="32"/>
      <c r="AN565" s="199"/>
      <c r="AO565" s="197"/>
      <c r="AP565" s="146"/>
      <c r="AQ565" s="146"/>
      <c r="AR565" s="32"/>
      <c r="AS565" s="199"/>
      <c r="AT565" s="197"/>
      <c r="AU565" s="146"/>
      <c r="AV565" s="146"/>
      <c r="AW565" s="30"/>
      <c r="AX565" s="176"/>
      <c r="AY565" s="197"/>
      <c r="AZ565" s="177"/>
      <c r="BA565" s="177">
        <f t="shared" si="21"/>
        <v>0</v>
      </c>
      <c r="BB565" s="9"/>
    </row>
    <row r="566" spans="1:54" ht="43.5" x14ac:dyDescent="0.35">
      <c r="A566" s="54"/>
      <c r="B566" s="342" t="s">
        <v>356</v>
      </c>
      <c r="C566" s="189"/>
      <c r="D566" s="202"/>
      <c r="E566" s="203">
        <v>0</v>
      </c>
      <c r="F566" s="204">
        <v>0</v>
      </c>
      <c r="G566" s="204">
        <f>SUM(G569:G570)</f>
        <v>2963.6088950952576</v>
      </c>
      <c r="H566" s="189"/>
      <c r="I566" s="202"/>
      <c r="J566" s="253"/>
      <c r="K566" s="254"/>
      <c r="L566" s="206">
        <f>SUM(L569:L570)</f>
        <v>2963.6088950952576</v>
      </c>
      <c r="M566" s="207"/>
      <c r="N566" s="202"/>
      <c r="O566" s="203"/>
      <c r="P566" s="206"/>
      <c r="Q566" s="206">
        <f>SUM(Q569:Q570)</f>
        <v>0</v>
      </c>
      <c r="R566" s="194"/>
      <c r="S566" s="202"/>
      <c r="T566" s="203"/>
      <c r="U566" s="206"/>
      <c r="V566" s="206">
        <f>SUM(V569:V570)</f>
        <v>0</v>
      </c>
      <c r="W566" s="194"/>
      <c r="X566" s="202"/>
      <c r="Y566" s="203"/>
      <c r="Z566" s="206"/>
      <c r="AA566" s="206">
        <f>SUM(AA569:AA570)</f>
        <v>0</v>
      </c>
      <c r="AB566" s="189"/>
      <c r="AC566" s="195"/>
      <c r="AD566" s="202"/>
      <c r="AE566" s="253"/>
      <c r="AF566" s="254"/>
      <c r="AG566" s="206">
        <v>1390.3679999999995</v>
      </c>
      <c r="AH566" s="209"/>
      <c r="AI566" s="202"/>
      <c r="AJ566" s="203"/>
      <c r="AK566" s="206"/>
      <c r="AL566" s="206"/>
      <c r="AM566" s="196"/>
      <c r="AN566" s="202"/>
      <c r="AO566" s="203"/>
      <c r="AP566" s="206"/>
      <c r="AQ566" s="206"/>
      <c r="AR566" s="196"/>
      <c r="AS566" s="202"/>
      <c r="AT566" s="203"/>
      <c r="AU566" s="206"/>
      <c r="AV566" s="206"/>
      <c r="AW566" s="194"/>
      <c r="AX566" s="202"/>
      <c r="AY566" s="203"/>
      <c r="AZ566" s="204"/>
      <c r="BA566" s="204">
        <f t="shared" si="21"/>
        <v>1390.3679999999995</v>
      </c>
      <c r="BB566" s="9"/>
    </row>
    <row r="567" spans="1:54" hidden="1" x14ac:dyDescent="0.35">
      <c r="A567" s="54"/>
      <c r="B567" s="210" t="s">
        <v>202</v>
      </c>
      <c r="C567" s="42"/>
      <c r="D567" s="199"/>
      <c r="E567" s="197"/>
      <c r="F567" s="146"/>
      <c r="G567" s="146"/>
      <c r="H567" s="42"/>
      <c r="I567" s="199"/>
      <c r="J567" s="197"/>
      <c r="K567" s="146"/>
      <c r="L567" s="146"/>
      <c r="M567" s="178"/>
      <c r="N567" s="199"/>
      <c r="O567" s="197"/>
      <c r="P567" s="146"/>
      <c r="Q567" s="146"/>
      <c r="R567" s="30"/>
      <c r="S567" s="199"/>
      <c r="T567" s="197"/>
      <c r="U567" s="146"/>
      <c r="V567" s="146"/>
      <c r="W567" s="30"/>
      <c r="X567" s="199"/>
      <c r="Y567" s="197"/>
      <c r="Z567" s="146"/>
      <c r="AA567" s="146"/>
      <c r="AB567" s="42"/>
      <c r="AC567" s="46"/>
      <c r="AD567" s="199"/>
      <c r="AE567" s="197"/>
      <c r="AF567" s="146"/>
      <c r="AG567" s="146"/>
      <c r="AH567" s="200"/>
      <c r="AI567" s="199"/>
      <c r="AJ567" s="197"/>
      <c r="AK567" s="146"/>
      <c r="AL567" s="146"/>
      <c r="AM567" s="32"/>
      <c r="AN567" s="199"/>
      <c r="AO567" s="197"/>
      <c r="AP567" s="146"/>
      <c r="AQ567" s="146"/>
      <c r="AR567" s="32"/>
      <c r="AS567" s="199"/>
      <c r="AT567" s="197"/>
      <c r="AU567" s="146"/>
      <c r="AV567" s="146"/>
      <c r="AW567" s="30"/>
      <c r="AX567" s="199"/>
      <c r="AY567" s="197"/>
      <c r="AZ567" s="146"/>
      <c r="BA567" s="177">
        <f t="shared" si="21"/>
        <v>0</v>
      </c>
      <c r="BB567" s="9"/>
    </row>
    <row r="568" spans="1:54" hidden="1" x14ac:dyDescent="0.35">
      <c r="A568" s="54"/>
      <c r="B568" s="55" t="s">
        <v>203</v>
      </c>
      <c r="C568" s="42"/>
      <c r="D568" s="199"/>
      <c r="E568" s="197">
        <v>0</v>
      </c>
      <c r="F568" s="177">
        <v>0</v>
      </c>
      <c r="G568" s="177">
        <v>0</v>
      </c>
      <c r="H568" s="42"/>
      <c r="I568" s="199"/>
      <c r="J568" s="197"/>
      <c r="K568" s="146"/>
      <c r="L568" s="146"/>
      <c r="M568" s="178"/>
      <c r="N568" s="199"/>
      <c r="O568" s="197"/>
      <c r="P568" s="146"/>
      <c r="Q568" s="146"/>
      <c r="R568" s="30"/>
      <c r="S568" s="199"/>
      <c r="T568" s="197"/>
      <c r="U568" s="146"/>
      <c r="V568" s="146"/>
      <c r="W568" s="30"/>
      <c r="X568" s="199"/>
      <c r="Y568" s="197"/>
      <c r="Z568" s="146"/>
      <c r="AA568" s="146"/>
      <c r="AB568" s="42"/>
      <c r="AC568" s="46"/>
      <c r="AD568" s="199"/>
      <c r="AE568" s="197"/>
      <c r="AF568" s="146"/>
      <c r="AG568" s="146"/>
      <c r="AH568" s="200"/>
      <c r="AI568" s="199"/>
      <c r="AJ568" s="197"/>
      <c r="AK568" s="146"/>
      <c r="AL568" s="146"/>
      <c r="AM568" s="32"/>
      <c r="AN568" s="199"/>
      <c r="AO568" s="197"/>
      <c r="AP568" s="146"/>
      <c r="AQ568" s="146"/>
      <c r="AR568" s="32"/>
      <c r="AS568" s="199"/>
      <c r="AT568" s="197"/>
      <c r="AU568" s="146"/>
      <c r="AV568" s="146"/>
      <c r="AW568" s="30"/>
      <c r="AX568" s="199"/>
      <c r="AY568" s="197"/>
      <c r="AZ568" s="177"/>
      <c r="BA568" s="177">
        <f t="shared" si="21"/>
        <v>0</v>
      </c>
      <c r="BB568" s="9"/>
    </row>
    <row r="569" spans="1:54" x14ac:dyDescent="0.35">
      <c r="A569" s="54"/>
      <c r="B569" s="174" t="s">
        <v>357</v>
      </c>
      <c r="C569" s="216" t="s">
        <v>27</v>
      </c>
      <c r="D569" s="176" t="s">
        <v>56</v>
      </c>
      <c r="E569" s="197">
        <v>48</v>
      </c>
      <c r="F569" s="177">
        <v>46.496950257410163</v>
      </c>
      <c r="G569" s="177">
        <v>2231.8536123556878</v>
      </c>
      <c r="H569" s="216"/>
      <c r="I569" s="176" t="s">
        <v>56</v>
      </c>
      <c r="J569" s="343">
        <v>48</v>
      </c>
      <c r="K569" s="307">
        <v>46.496950257410163</v>
      </c>
      <c r="L569" s="146">
        <v>2231.8536123556878</v>
      </c>
      <c r="M569" s="178"/>
      <c r="N569" s="176"/>
      <c r="O569" s="343"/>
      <c r="P569" s="307"/>
      <c r="Q569" s="146"/>
      <c r="R569" s="30"/>
      <c r="S569" s="176"/>
      <c r="T569" s="343"/>
      <c r="U569" s="307"/>
      <c r="V569" s="146"/>
      <c r="W569" s="30"/>
      <c r="X569" s="176"/>
      <c r="Y569" s="343"/>
      <c r="Z569" s="307"/>
      <c r="AA569" s="146"/>
      <c r="AB569" s="216"/>
      <c r="AC569" s="218"/>
      <c r="AD569" s="176"/>
      <c r="AE569" s="343"/>
      <c r="AF569" s="307"/>
      <c r="AG569" s="146"/>
      <c r="AH569" s="200"/>
      <c r="AI569" s="176"/>
      <c r="AJ569" s="343"/>
      <c r="AK569" s="307"/>
      <c r="AL569" s="146"/>
      <c r="AM569" s="32"/>
      <c r="AN569" s="176"/>
      <c r="AO569" s="343"/>
      <c r="AP569" s="307"/>
      <c r="AQ569" s="146"/>
      <c r="AR569" s="32"/>
      <c r="AS569" s="176"/>
      <c r="AT569" s="343"/>
      <c r="AU569" s="307"/>
      <c r="AV569" s="146"/>
      <c r="AW569" s="30"/>
      <c r="AX569" s="176"/>
      <c r="AY569" s="197"/>
      <c r="AZ569" s="177"/>
      <c r="BA569" s="177">
        <f t="shared" si="21"/>
        <v>0</v>
      </c>
      <c r="BB569" s="9"/>
    </row>
    <row r="570" spans="1:54" x14ac:dyDescent="0.35">
      <c r="A570" s="54"/>
      <c r="B570" s="174" t="s">
        <v>358</v>
      </c>
      <c r="C570" s="216" t="s">
        <v>27</v>
      </c>
      <c r="D570" s="176" t="s">
        <v>56</v>
      </c>
      <c r="E570" s="197">
        <v>8</v>
      </c>
      <c r="F570" s="177">
        <v>91.469410342446224</v>
      </c>
      <c r="G570" s="177">
        <v>731.75528273956979</v>
      </c>
      <c r="H570" s="216"/>
      <c r="I570" s="176" t="s">
        <v>56</v>
      </c>
      <c r="J570" s="343">
        <v>8</v>
      </c>
      <c r="K570" s="307">
        <v>91.469410342446224</v>
      </c>
      <c r="L570" s="146">
        <v>731.75528273956979</v>
      </c>
      <c r="M570" s="178"/>
      <c r="N570" s="176"/>
      <c r="O570" s="343"/>
      <c r="P570" s="307"/>
      <c r="Q570" s="146"/>
      <c r="R570" s="30"/>
      <c r="S570" s="176"/>
      <c r="T570" s="343"/>
      <c r="U570" s="307"/>
      <c r="V570" s="146"/>
      <c r="W570" s="30"/>
      <c r="X570" s="176"/>
      <c r="Y570" s="343"/>
      <c r="Z570" s="307"/>
      <c r="AA570" s="146"/>
      <c r="AB570" s="216"/>
      <c r="AC570" s="218"/>
      <c r="AD570" s="176"/>
      <c r="AE570" s="343"/>
      <c r="AF570" s="307"/>
      <c r="AG570" s="146"/>
      <c r="AH570" s="200"/>
      <c r="AI570" s="176"/>
      <c r="AJ570" s="343"/>
      <c r="AK570" s="307"/>
      <c r="AL570" s="146"/>
      <c r="AM570" s="32"/>
      <c r="AN570" s="176"/>
      <c r="AO570" s="343"/>
      <c r="AP570" s="307"/>
      <c r="AQ570" s="146"/>
      <c r="AR570" s="32"/>
      <c r="AS570" s="176"/>
      <c r="AT570" s="343"/>
      <c r="AU570" s="307"/>
      <c r="AV570" s="146"/>
      <c r="AW570" s="30"/>
      <c r="AX570" s="176"/>
      <c r="AY570" s="197"/>
      <c r="AZ570" s="177"/>
      <c r="BA570" s="177">
        <f t="shared" si="21"/>
        <v>0</v>
      </c>
      <c r="BB570" s="9"/>
    </row>
    <row r="571" spans="1:54" hidden="1" x14ac:dyDescent="0.35">
      <c r="A571" s="54"/>
      <c r="B571" s="55" t="s">
        <v>211</v>
      </c>
      <c r="C571" s="216"/>
      <c r="D571" s="176"/>
      <c r="E571" s="197">
        <v>0</v>
      </c>
      <c r="F571" s="177">
        <v>0</v>
      </c>
      <c r="G571" s="177">
        <v>0</v>
      </c>
      <c r="H571" s="216"/>
      <c r="I571" s="176"/>
      <c r="J571" s="343"/>
      <c r="K571" s="307"/>
      <c r="L571" s="146"/>
      <c r="M571" s="178"/>
      <c r="N571" s="176"/>
      <c r="O571" s="343"/>
      <c r="P571" s="307"/>
      <c r="Q571" s="146"/>
      <c r="R571" s="30"/>
      <c r="S571" s="176"/>
      <c r="T571" s="343"/>
      <c r="U571" s="307"/>
      <c r="V571" s="146"/>
      <c r="W571" s="30"/>
      <c r="X571" s="176"/>
      <c r="Y571" s="343"/>
      <c r="Z571" s="307"/>
      <c r="AA571" s="146"/>
      <c r="AB571" s="216"/>
      <c r="AC571" s="218"/>
      <c r="AD571" s="176"/>
      <c r="AE571" s="343"/>
      <c r="AF571" s="307"/>
      <c r="AG571" s="146"/>
      <c r="AH571" s="200"/>
      <c r="AI571" s="176"/>
      <c r="AJ571" s="343"/>
      <c r="AK571" s="307"/>
      <c r="AL571" s="146"/>
      <c r="AM571" s="32"/>
      <c r="AN571" s="176"/>
      <c r="AO571" s="343"/>
      <c r="AP571" s="307"/>
      <c r="AQ571" s="146"/>
      <c r="AR571" s="32"/>
      <c r="AS571" s="176"/>
      <c r="AT571" s="343"/>
      <c r="AU571" s="307"/>
      <c r="AV571" s="146"/>
      <c r="AW571" s="30"/>
      <c r="AX571" s="176"/>
      <c r="AY571" s="197"/>
      <c r="AZ571" s="177"/>
      <c r="BA571" s="177">
        <f t="shared" si="21"/>
        <v>0</v>
      </c>
      <c r="BB571" s="9"/>
    </row>
    <row r="572" spans="1:54" hidden="1" x14ac:dyDescent="0.35">
      <c r="A572" s="54"/>
      <c r="B572" s="174" t="s">
        <v>246</v>
      </c>
      <c r="C572" s="216"/>
      <c r="D572" s="176" t="s">
        <v>359</v>
      </c>
      <c r="E572" s="197">
        <v>0</v>
      </c>
      <c r="F572" s="177">
        <v>0</v>
      </c>
      <c r="G572" s="177">
        <v>0</v>
      </c>
      <c r="H572" s="216"/>
      <c r="I572" s="176"/>
      <c r="J572" s="234"/>
      <c r="K572" s="146"/>
      <c r="L572" s="146"/>
      <c r="M572" s="178"/>
      <c r="N572" s="199"/>
      <c r="O572" s="197"/>
      <c r="P572" s="146"/>
      <c r="Q572" s="146"/>
      <c r="R572" s="30"/>
      <c r="S572" s="199"/>
      <c r="T572" s="197"/>
      <c r="U572" s="146"/>
      <c r="V572" s="146"/>
      <c r="W572" s="30"/>
      <c r="X572" s="199"/>
      <c r="Y572" s="197"/>
      <c r="Z572" s="146"/>
      <c r="AA572" s="146"/>
      <c r="AB572" s="216"/>
      <c r="AC572" s="218"/>
      <c r="AD572" s="176"/>
      <c r="AE572" s="234"/>
      <c r="AF572" s="146"/>
      <c r="AG572" s="146"/>
      <c r="AH572" s="200"/>
      <c r="AI572" s="199"/>
      <c r="AJ572" s="197"/>
      <c r="AK572" s="146"/>
      <c r="AL572" s="146"/>
      <c r="AM572" s="32"/>
      <c r="AN572" s="199"/>
      <c r="AO572" s="197"/>
      <c r="AP572" s="146"/>
      <c r="AQ572" s="146"/>
      <c r="AR572" s="32"/>
      <c r="AS572" s="199"/>
      <c r="AT572" s="197"/>
      <c r="AU572" s="146"/>
      <c r="AV572" s="146"/>
      <c r="AW572" s="30"/>
      <c r="AX572" s="176"/>
      <c r="AY572" s="197"/>
      <c r="AZ572" s="177"/>
      <c r="BA572" s="177">
        <f t="shared" si="21"/>
        <v>0</v>
      </c>
      <c r="BB572" s="9"/>
    </row>
    <row r="573" spans="1:54" ht="43.5" x14ac:dyDescent="0.35">
      <c r="A573" s="54"/>
      <c r="B573" s="342" t="s">
        <v>360</v>
      </c>
      <c r="C573" s="189"/>
      <c r="D573" s="202"/>
      <c r="E573" s="203">
        <v>0</v>
      </c>
      <c r="F573" s="204">
        <v>0</v>
      </c>
      <c r="G573" s="204">
        <f>SUM(G574:G578)</f>
        <v>115861.25310043187</v>
      </c>
      <c r="H573" s="189"/>
      <c r="I573" s="202"/>
      <c r="J573" s="253"/>
      <c r="K573" s="254"/>
      <c r="L573" s="206">
        <f>SUM(L574:L578)</f>
        <v>0</v>
      </c>
      <c r="M573" s="207"/>
      <c r="N573" s="202"/>
      <c r="O573" s="253"/>
      <c r="P573" s="254"/>
      <c r="Q573" s="206">
        <f>SUM(Q574:Q578)</f>
        <v>48783.685515971323</v>
      </c>
      <c r="R573" s="194"/>
      <c r="S573" s="202"/>
      <c r="T573" s="253"/>
      <c r="U573" s="254"/>
      <c r="V573" s="206">
        <f>SUM(V574:V578)</f>
        <v>41466.132688575621</v>
      </c>
      <c r="W573" s="194"/>
      <c r="X573" s="202"/>
      <c r="Y573" s="253"/>
      <c r="Z573" s="254"/>
      <c r="AA573" s="206">
        <f>SUM(AA574:AA578)</f>
        <v>25611.434895884944</v>
      </c>
      <c r="AB573" s="189"/>
      <c r="AC573" s="195"/>
      <c r="AD573" s="202"/>
      <c r="AE573" s="253"/>
      <c r="AF573" s="254"/>
      <c r="AG573" s="206">
        <v>0</v>
      </c>
      <c r="AH573" s="209"/>
      <c r="AI573" s="202"/>
      <c r="AJ573" s="253"/>
      <c r="AK573" s="254"/>
      <c r="AL573" s="206"/>
      <c r="AM573" s="196"/>
      <c r="AN573" s="202"/>
      <c r="AO573" s="253"/>
      <c r="AP573" s="254"/>
      <c r="AQ573" s="206"/>
      <c r="AR573" s="196"/>
      <c r="AS573" s="202"/>
      <c r="AT573" s="253"/>
      <c r="AU573" s="254"/>
      <c r="AV573" s="206"/>
      <c r="AW573" s="194"/>
      <c r="AX573" s="202"/>
      <c r="AY573" s="203"/>
      <c r="AZ573" s="204"/>
      <c r="BA573" s="204">
        <f t="shared" si="21"/>
        <v>0</v>
      </c>
      <c r="BB573" s="9"/>
    </row>
    <row r="574" spans="1:54" x14ac:dyDescent="0.35">
      <c r="A574" s="54"/>
      <c r="B574" s="210" t="s">
        <v>202</v>
      </c>
      <c r="C574" s="42"/>
      <c r="D574" s="199"/>
      <c r="E574" s="197"/>
      <c r="F574" s="146"/>
      <c r="G574" s="146"/>
      <c r="H574" s="42"/>
      <c r="I574" s="199"/>
      <c r="J574" s="197"/>
      <c r="K574" s="146"/>
      <c r="L574" s="146"/>
      <c r="M574" s="178"/>
      <c r="N574" s="199"/>
      <c r="O574" s="197"/>
      <c r="P574" s="146"/>
      <c r="Q574" s="146"/>
      <c r="R574" s="30"/>
      <c r="S574" s="199"/>
      <c r="T574" s="197"/>
      <c r="U574" s="146"/>
      <c r="V574" s="146"/>
      <c r="W574" s="30"/>
      <c r="X574" s="199"/>
      <c r="Y574" s="197"/>
      <c r="Z574" s="146"/>
      <c r="AA574" s="146"/>
      <c r="AB574" s="42"/>
      <c r="AC574" s="46"/>
      <c r="AD574" s="199"/>
      <c r="AE574" s="197"/>
      <c r="AF574" s="146"/>
      <c r="AG574" s="146"/>
      <c r="AH574" s="200"/>
      <c r="AI574" s="199"/>
      <c r="AJ574" s="197"/>
      <c r="AK574" s="146"/>
      <c r="AL574" s="146"/>
      <c r="AM574" s="32"/>
      <c r="AN574" s="199"/>
      <c r="AO574" s="197"/>
      <c r="AP574" s="146"/>
      <c r="AQ574" s="146"/>
      <c r="AR574" s="32"/>
      <c r="AS574" s="199"/>
      <c r="AT574" s="197"/>
      <c r="AU574" s="146"/>
      <c r="AV574" s="146"/>
      <c r="AW574" s="30"/>
      <c r="AX574" s="199"/>
      <c r="AY574" s="197"/>
      <c r="AZ574" s="146"/>
      <c r="BA574" s="177">
        <f t="shared" si="21"/>
        <v>0</v>
      </c>
      <c r="BB574" s="9"/>
    </row>
    <row r="575" spans="1:54" x14ac:dyDescent="0.35">
      <c r="A575" s="54"/>
      <c r="B575" s="55" t="s">
        <v>203</v>
      </c>
      <c r="C575" s="42"/>
      <c r="D575" s="199"/>
      <c r="E575" s="197">
        <v>0</v>
      </c>
      <c r="F575" s="177">
        <v>0</v>
      </c>
      <c r="G575" s="177">
        <v>0</v>
      </c>
      <c r="H575" s="42"/>
      <c r="I575" s="199"/>
      <c r="J575" s="197"/>
      <c r="K575" s="146"/>
      <c r="L575" s="146"/>
      <c r="M575" s="178"/>
      <c r="N575" s="199"/>
      <c r="O575" s="197"/>
      <c r="P575" s="146"/>
      <c r="Q575" s="146"/>
      <c r="R575" s="30"/>
      <c r="S575" s="199"/>
      <c r="T575" s="197"/>
      <c r="U575" s="146"/>
      <c r="V575" s="146"/>
      <c r="W575" s="30"/>
      <c r="X575" s="199"/>
      <c r="Y575" s="197"/>
      <c r="Z575" s="146"/>
      <c r="AA575" s="146"/>
      <c r="AB575" s="42"/>
      <c r="AC575" s="46"/>
      <c r="AD575" s="199"/>
      <c r="AE575" s="197"/>
      <c r="AF575" s="146"/>
      <c r="AG575" s="146"/>
      <c r="AH575" s="200"/>
      <c r="AI575" s="199"/>
      <c r="AJ575" s="197"/>
      <c r="AK575" s="146"/>
      <c r="AL575" s="146"/>
      <c r="AM575" s="32"/>
      <c r="AN575" s="199"/>
      <c r="AO575" s="197"/>
      <c r="AP575" s="146"/>
      <c r="AQ575" s="146"/>
      <c r="AR575" s="32"/>
      <c r="AS575" s="199"/>
      <c r="AT575" s="197"/>
      <c r="AU575" s="146"/>
      <c r="AV575" s="146"/>
      <c r="AW575" s="30"/>
      <c r="AX575" s="199"/>
      <c r="AY575" s="197"/>
      <c r="AZ575" s="177"/>
      <c r="BA575" s="177">
        <f t="shared" si="21"/>
        <v>0</v>
      </c>
      <c r="BB575" s="9"/>
    </row>
    <row r="576" spans="1:54" x14ac:dyDescent="0.35">
      <c r="A576" s="54"/>
      <c r="B576" s="174" t="s">
        <v>210</v>
      </c>
      <c r="C576" s="216"/>
      <c r="D576" s="176"/>
      <c r="E576" s="197">
        <v>0</v>
      </c>
      <c r="F576" s="177">
        <v>0</v>
      </c>
      <c r="G576" s="177">
        <v>0</v>
      </c>
      <c r="H576" s="216"/>
      <c r="I576" s="176"/>
      <c r="J576" s="343"/>
      <c r="K576" s="307"/>
      <c r="L576" s="146">
        <v>0</v>
      </c>
      <c r="M576" s="178"/>
      <c r="N576" s="176"/>
      <c r="O576" s="343"/>
      <c r="P576" s="307"/>
      <c r="Q576" s="146">
        <v>0</v>
      </c>
      <c r="R576" s="30"/>
      <c r="S576" s="176"/>
      <c r="T576" s="343"/>
      <c r="U576" s="307"/>
      <c r="V576" s="146">
        <v>0</v>
      </c>
      <c r="W576" s="30"/>
      <c r="X576" s="176"/>
      <c r="Y576" s="343"/>
      <c r="Z576" s="307"/>
      <c r="AA576" s="146">
        <v>0</v>
      </c>
      <c r="AB576" s="216"/>
      <c r="AC576" s="218"/>
      <c r="AD576" s="176"/>
      <c r="AE576" s="343"/>
      <c r="AF576" s="307"/>
      <c r="AG576" s="146"/>
      <c r="AH576" s="200"/>
      <c r="AI576" s="176"/>
      <c r="AJ576" s="343"/>
      <c r="AK576" s="307"/>
      <c r="AL576" s="146"/>
      <c r="AM576" s="32"/>
      <c r="AN576" s="176"/>
      <c r="AO576" s="343"/>
      <c r="AP576" s="307"/>
      <c r="AQ576" s="146"/>
      <c r="AR576" s="32"/>
      <c r="AS576" s="176"/>
      <c r="AT576" s="343"/>
      <c r="AU576" s="307"/>
      <c r="AV576" s="146"/>
      <c r="AW576" s="30"/>
      <c r="AX576" s="176"/>
      <c r="AY576" s="197"/>
      <c r="AZ576" s="177"/>
      <c r="BA576" s="177">
        <f t="shared" si="21"/>
        <v>0</v>
      </c>
      <c r="BB576" s="9"/>
    </row>
    <row r="577" spans="1:54" ht="29" x14ac:dyDescent="0.35">
      <c r="A577" s="54"/>
      <c r="B577" s="55" t="s">
        <v>361</v>
      </c>
      <c r="C577" s="216" t="s">
        <v>27</v>
      </c>
      <c r="D577" s="176" t="s">
        <v>218</v>
      </c>
      <c r="E577" s="197">
        <v>24</v>
      </c>
      <c r="F577" s="177">
        <v>4827.552212517995</v>
      </c>
      <c r="G577" s="177">
        <v>115861.25310043187</v>
      </c>
      <c r="H577" s="216"/>
      <c r="I577" s="176" t="s">
        <v>218</v>
      </c>
      <c r="J577" s="343"/>
      <c r="K577" s="344"/>
      <c r="L577" s="146">
        <v>0</v>
      </c>
      <c r="M577" s="178"/>
      <c r="N577" s="176" t="s">
        <v>218</v>
      </c>
      <c r="O577" s="343">
        <v>8</v>
      </c>
      <c r="P577" s="344">
        <v>6097.9606894964154</v>
      </c>
      <c r="Q577" s="146">
        <v>48783.685515971323</v>
      </c>
      <c r="R577" s="30"/>
      <c r="S577" s="176" t="s">
        <v>218</v>
      </c>
      <c r="T577" s="343">
        <v>8</v>
      </c>
      <c r="U577" s="344">
        <v>5183.2665860719526</v>
      </c>
      <c r="V577" s="146">
        <v>41466.132688575621</v>
      </c>
      <c r="W577" s="30"/>
      <c r="X577" s="176" t="s">
        <v>218</v>
      </c>
      <c r="Y577" s="343">
        <v>8</v>
      </c>
      <c r="Z577" s="344">
        <v>3201.429361985618</v>
      </c>
      <c r="AA577" s="146">
        <v>25611.434895884944</v>
      </c>
      <c r="AB577" s="216"/>
      <c r="AC577" s="218"/>
      <c r="AD577" s="176"/>
      <c r="AE577" s="343"/>
      <c r="AF577" s="344"/>
      <c r="AG577" s="146"/>
      <c r="AH577" s="200"/>
      <c r="AI577" s="176"/>
      <c r="AJ577" s="343"/>
      <c r="AK577" s="344"/>
      <c r="AL577" s="146"/>
      <c r="AM577" s="32"/>
      <c r="AN577" s="176"/>
      <c r="AO577" s="343"/>
      <c r="AP577" s="344"/>
      <c r="AQ577" s="146"/>
      <c r="AR577" s="32"/>
      <c r="AS577" s="176"/>
      <c r="AT577" s="343"/>
      <c r="AU577" s="344"/>
      <c r="AV577" s="146"/>
      <c r="AW577" s="30"/>
      <c r="AX577" s="176"/>
      <c r="AY577" s="197"/>
      <c r="AZ577" s="177"/>
      <c r="BA577" s="177">
        <f t="shared" si="21"/>
        <v>0</v>
      </c>
      <c r="BB577" s="9"/>
    </row>
    <row r="578" spans="1:54" x14ac:dyDescent="0.35">
      <c r="A578" s="54"/>
      <c r="B578" s="174" t="s">
        <v>246</v>
      </c>
      <c r="C578" s="87"/>
      <c r="D578" s="199"/>
      <c r="E578" s="197">
        <v>0</v>
      </c>
      <c r="F578" s="177">
        <v>0</v>
      </c>
      <c r="G578" s="177">
        <v>0</v>
      </c>
      <c r="H578" s="87"/>
      <c r="I578" s="199"/>
      <c r="J578" s="234"/>
      <c r="K578" s="146"/>
      <c r="L578" s="146">
        <v>0</v>
      </c>
      <c r="M578" s="178"/>
      <c r="N578" s="199"/>
      <c r="O578" s="197"/>
      <c r="P578" s="146"/>
      <c r="Q578" s="146"/>
      <c r="R578" s="30"/>
      <c r="S578" s="199"/>
      <c r="T578" s="197"/>
      <c r="U578" s="146"/>
      <c r="V578" s="146"/>
      <c r="W578" s="30"/>
      <c r="X578" s="199"/>
      <c r="Y578" s="197"/>
      <c r="Z578" s="146"/>
      <c r="AA578" s="146"/>
      <c r="AB578" s="87"/>
      <c r="AC578" s="90"/>
      <c r="AD578" s="199"/>
      <c r="AE578" s="234"/>
      <c r="AF578" s="146"/>
      <c r="AG578" s="146"/>
      <c r="AH578" s="200"/>
      <c r="AI578" s="199"/>
      <c r="AJ578" s="197"/>
      <c r="AK578" s="146"/>
      <c r="AL578" s="146"/>
      <c r="AM578" s="32"/>
      <c r="AN578" s="199"/>
      <c r="AO578" s="197"/>
      <c r="AP578" s="146"/>
      <c r="AQ578" s="146"/>
      <c r="AR578" s="32"/>
      <c r="AS578" s="199"/>
      <c r="AT578" s="197"/>
      <c r="AU578" s="146"/>
      <c r="AV578" s="146"/>
      <c r="AW578" s="30"/>
      <c r="AX578" s="199"/>
      <c r="AY578" s="197"/>
      <c r="AZ578" s="177"/>
      <c r="BA578" s="177">
        <f t="shared" si="21"/>
        <v>0</v>
      </c>
      <c r="BB578" s="9"/>
    </row>
    <row r="579" spans="1:54" ht="76.5" customHeight="1" x14ac:dyDescent="0.35">
      <c r="A579" s="54"/>
      <c r="B579" s="345" t="s">
        <v>362</v>
      </c>
      <c r="C579" s="189"/>
      <c r="D579" s="202"/>
      <c r="E579" s="203">
        <v>0</v>
      </c>
      <c r="F579" s="204">
        <v>0</v>
      </c>
      <c r="G579" s="204">
        <f>SUM(G580:G584)</f>
        <v>0</v>
      </c>
      <c r="H579" s="189"/>
      <c r="I579" s="202"/>
      <c r="J579" s="253"/>
      <c r="K579" s="254"/>
      <c r="L579" s="206">
        <f>SUM(L580:L584)</f>
        <v>0</v>
      </c>
      <c r="M579" s="207"/>
      <c r="N579" s="202"/>
      <c r="O579" s="203"/>
      <c r="P579" s="206"/>
      <c r="Q579" s="206">
        <f>SUM(Q580:Q584)</f>
        <v>0</v>
      </c>
      <c r="R579" s="194"/>
      <c r="S579" s="202"/>
      <c r="T579" s="203"/>
      <c r="U579" s="206"/>
      <c r="V579" s="206">
        <f>SUM(V580:V584)</f>
        <v>0</v>
      </c>
      <c r="W579" s="194"/>
      <c r="X579" s="202"/>
      <c r="Y579" s="203"/>
      <c r="Z579" s="206"/>
      <c r="AA579" s="206">
        <f>SUM(AA580:AA584)</f>
        <v>0</v>
      </c>
      <c r="AB579" s="189"/>
      <c r="AC579" s="195"/>
      <c r="AD579" s="202"/>
      <c r="AE579" s="253"/>
      <c r="AF579" s="254"/>
      <c r="AG579" s="206">
        <v>0</v>
      </c>
      <c r="AH579" s="209"/>
      <c r="AI579" s="202"/>
      <c r="AJ579" s="203"/>
      <c r="AK579" s="206"/>
      <c r="AL579" s="206"/>
      <c r="AM579" s="196"/>
      <c r="AN579" s="202"/>
      <c r="AO579" s="203"/>
      <c r="AP579" s="206"/>
      <c r="AQ579" s="206"/>
      <c r="AR579" s="196"/>
      <c r="AS579" s="202"/>
      <c r="AT579" s="203"/>
      <c r="AU579" s="206"/>
      <c r="AV579" s="206"/>
      <c r="AW579" s="194"/>
      <c r="AX579" s="202"/>
      <c r="AY579" s="203"/>
      <c r="AZ579" s="204"/>
      <c r="BA579" s="204">
        <f t="shared" si="21"/>
        <v>0</v>
      </c>
      <c r="BB579" s="9"/>
    </row>
    <row r="580" spans="1:54" x14ac:dyDescent="0.35">
      <c r="A580" s="54"/>
      <c r="B580" s="210" t="s">
        <v>202</v>
      </c>
      <c r="C580" s="42"/>
      <c r="D580" s="199"/>
      <c r="E580" s="197"/>
      <c r="F580" s="146"/>
      <c r="G580" s="146"/>
      <c r="H580" s="42"/>
      <c r="I580" s="199"/>
      <c r="J580" s="197"/>
      <c r="K580" s="146"/>
      <c r="L580" s="146"/>
      <c r="M580" s="178"/>
      <c r="N580" s="199"/>
      <c r="O580" s="197"/>
      <c r="P580" s="146"/>
      <c r="Q580" s="146"/>
      <c r="R580" s="30"/>
      <c r="S580" s="199"/>
      <c r="T580" s="197"/>
      <c r="U580" s="146"/>
      <c r="V580" s="146"/>
      <c r="W580" s="30"/>
      <c r="X580" s="199"/>
      <c r="Y580" s="197"/>
      <c r="Z580" s="146"/>
      <c r="AA580" s="146"/>
      <c r="AB580" s="42"/>
      <c r="AC580" s="46"/>
      <c r="AD580" s="199"/>
      <c r="AE580" s="197"/>
      <c r="AF580" s="146"/>
      <c r="AG580" s="146"/>
      <c r="AH580" s="200"/>
      <c r="AI580" s="199"/>
      <c r="AJ580" s="197"/>
      <c r="AK580" s="146"/>
      <c r="AL580" s="146"/>
      <c r="AM580" s="32"/>
      <c r="AN580" s="199"/>
      <c r="AO580" s="197"/>
      <c r="AP580" s="146"/>
      <c r="AQ580" s="146"/>
      <c r="AR580" s="32"/>
      <c r="AS580" s="199"/>
      <c r="AT580" s="197"/>
      <c r="AU580" s="146"/>
      <c r="AV580" s="146"/>
      <c r="AW580" s="30"/>
      <c r="AX580" s="199"/>
      <c r="AY580" s="197"/>
      <c r="AZ580" s="146"/>
      <c r="BA580" s="177">
        <f t="shared" si="21"/>
        <v>0</v>
      </c>
      <c r="BB580" s="9"/>
    </row>
    <row r="581" spans="1:54" x14ac:dyDescent="0.35">
      <c r="A581" s="54"/>
      <c r="B581" s="55" t="s">
        <v>203</v>
      </c>
      <c r="C581" s="42"/>
      <c r="D581" s="199"/>
      <c r="E581" s="197">
        <v>0</v>
      </c>
      <c r="F581" s="177">
        <v>0</v>
      </c>
      <c r="G581" s="177">
        <v>0</v>
      </c>
      <c r="H581" s="42"/>
      <c r="I581" s="199"/>
      <c r="J581" s="197"/>
      <c r="K581" s="146"/>
      <c r="L581" s="146"/>
      <c r="M581" s="178"/>
      <c r="N581" s="199"/>
      <c r="O581" s="197"/>
      <c r="P581" s="146"/>
      <c r="Q581" s="146"/>
      <c r="R581" s="30"/>
      <c r="S581" s="199"/>
      <c r="T581" s="197"/>
      <c r="U581" s="146"/>
      <c r="V581" s="146"/>
      <c r="W581" s="30"/>
      <c r="X581" s="199"/>
      <c r="Y581" s="197"/>
      <c r="Z581" s="146"/>
      <c r="AA581" s="146"/>
      <c r="AB581" s="42"/>
      <c r="AC581" s="46"/>
      <c r="AD581" s="199"/>
      <c r="AE581" s="197"/>
      <c r="AF581" s="146"/>
      <c r="AG581" s="146"/>
      <c r="AH581" s="200"/>
      <c r="AI581" s="199"/>
      <c r="AJ581" s="197"/>
      <c r="AK581" s="146"/>
      <c r="AL581" s="146"/>
      <c r="AM581" s="32"/>
      <c r="AN581" s="199"/>
      <c r="AO581" s="197"/>
      <c r="AP581" s="146"/>
      <c r="AQ581" s="146"/>
      <c r="AR581" s="32"/>
      <c r="AS581" s="199"/>
      <c r="AT581" s="197"/>
      <c r="AU581" s="146"/>
      <c r="AV581" s="146"/>
      <c r="AW581" s="30"/>
      <c r="AX581" s="199"/>
      <c r="AY581" s="197"/>
      <c r="AZ581" s="177"/>
      <c r="BA581" s="177">
        <f t="shared" si="21"/>
        <v>0</v>
      </c>
      <c r="BB581" s="9"/>
    </row>
    <row r="582" spans="1:54" x14ac:dyDescent="0.35">
      <c r="A582" s="54"/>
      <c r="B582" s="174" t="s">
        <v>210</v>
      </c>
      <c r="C582" s="216"/>
      <c r="D582" s="176"/>
      <c r="E582" s="197">
        <v>0</v>
      </c>
      <c r="F582" s="177">
        <v>0</v>
      </c>
      <c r="G582" s="177">
        <v>0</v>
      </c>
      <c r="H582" s="216"/>
      <c r="I582" s="176"/>
      <c r="J582" s="343"/>
      <c r="K582" s="307"/>
      <c r="L582" s="146">
        <v>0</v>
      </c>
      <c r="M582" s="178"/>
      <c r="N582" s="176"/>
      <c r="O582" s="343"/>
      <c r="P582" s="307"/>
      <c r="Q582" s="146">
        <v>0</v>
      </c>
      <c r="R582" s="30"/>
      <c r="S582" s="176"/>
      <c r="T582" s="343"/>
      <c r="U582" s="307"/>
      <c r="V582" s="146">
        <v>0</v>
      </c>
      <c r="W582" s="30"/>
      <c r="X582" s="176"/>
      <c r="Y582" s="343"/>
      <c r="Z582" s="307"/>
      <c r="AA582" s="146">
        <v>0</v>
      </c>
      <c r="AB582" s="216"/>
      <c r="AC582" s="218"/>
      <c r="AD582" s="176"/>
      <c r="AE582" s="343"/>
      <c r="AF582" s="307"/>
      <c r="AG582" s="146"/>
      <c r="AH582" s="200"/>
      <c r="AI582" s="176"/>
      <c r="AJ582" s="343"/>
      <c r="AK582" s="307"/>
      <c r="AL582" s="146"/>
      <c r="AM582" s="32"/>
      <c r="AN582" s="176"/>
      <c r="AO582" s="343"/>
      <c r="AP582" s="307"/>
      <c r="AQ582" s="146"/>
      <c r="AR582" s="32"/>
      <c r="AS582" s="176"/>
      <c r="AT582" s="343"/>
      <c r="AU582" s="307"/>
      <c r="AV582" s="146"/>
      <c r="AW582" s="30"/>
      <c r="AX582" s="176"/>
      <c r="AY582" s="197"/>
      <c r="AZ582" s="177"/>
      <c r="BA582" s="177">
        <f t="shared" si="21"/>
        <v>0</v>
      </c>
      <c r="BB582" s="9"/>
    </row>
    <row r="583" spans="1:54" x14ac:dyDescent="0.35">
      <c r="A583" s="54"/>
      <c r="B583" s="55" t="s">
        <v>211</v>
      </c>
      <c r="C583" s="216"/>
      <c r="D583" s="176"/>
      <c r="E583" s="197">
        <v>0</v>
      </c>
      <c r="F583" s="177">
        <v>0</v>
      </c>
      <c r="G583" s="177">
        <v>0</v>
      </c>
      <c r="H583" s="216"/>
      <c r="I583" s="176"/>
      <c r="J583" s="343"/>
      <c r="K583" s="307"/>
      <c r="L583" s="146"/>
      <c r="M583" s="178"/>
      <c r="N583" s="176"/>
      <c r="O583" s="343"/>
      <c r="P583" s="307"/>
      <c r="Q583" s="146"/>
      <c r="R583" s="30"/>
      <c r="S583" s="176"/>
      <c r="T583" s="343"/>
      <c r="U583" s="307"/>
      <c r="V583" s="146"/>
      <c r="W583" s="30"/>
      <c r="X583" s="176"/>
      <c r="Y583" s="343"/>
      <c r="Z583" s="307"/>
      <c r="AA583" s="146"/>
      <c r="AB583" s="216"/>
      <c r="AC583" s="218"/>
      <c r="AD583" s="176"/>
      <c r="AE583" s="343"/>
      <c r="AF583" s="307"/>
      <c r="AG583" s="146"/>
      <c r="AH583" s="200"/>
      <c r="AI583" s="176"/>
      <c r="AJ583" s="343"/>
      <c r="AK583" s="307"/>
      <c r="AL583" s="146"/>
      <c r="AM583" s="32"/>
      <c r="AN583" s="176"/>
      <c r="AO583" s="343"/>
      <c r="AP583" s="307"/>
      <c r="AQ583" s="146"/>
      <c r="AR583" s="32"/>
      <c r="AS583" s="176"/>
      <c r="AT583" s="343"/>
      <c r="AU583" s="307"/>
      <c r="AV583" s="146"/>
      <c r="AW583" s="30"/>
      <c r="AX583" s="176"/>
      <c r="AY583" s="197"/>
      <c r="AZ583" s="177"/>
      <c r="BA583" s="177">
        <f t="shared" si="21"/>
        <v>0</v>
      </c>
      <c r="BB583" s="9"/>
    </row>
    <row r="584" spans="1:54" x14ac:dyDescent="0.35">
      <c r="A584" s="54"/>
      <c r="B584" s="174" t="s">
        <v>246</v>
      </c>
      <c r="C584" s="87"/>
      <c r="D584" s="199"/>
      <c r="E584" s="197">
        <v>0</v>
      </c>
      <c r="F584" s="177">
        <v>0</v>
      </c>
      <c r="G584" s="177">
        <v>0</v>
      </c>
      <c r="H584" s="87"/>
      <c r="I584" s="199"/>
      <c r="J584" s="234"/>
      <c r="K584" s="146"/>
      <c r="L584" s="146">
        <v>0</v>
      </c>
      <c r="M584" s="178"/>
      <c r="N584" s="199"/>
      <c r="O584" s="197"/>
      <c r="P584" s="146"/>
      <c r="Q584" s="146"/>
      <c r="R584" s="30"/>
      <c r="S584" s="199"/>
      <c r="T584" s="197"/>
      <c r="U584" s="146"/>
      <c r="V584" s="146"/>
      <c r="W584" s="30"/>
      <c r="X584" s="199"/>
      <c r="Y584" s="197"/>
      <c r="Z584" s="146"/>
      <c r="AA584" s="146"/>
      <c r="AB584" s="87"/>
      <c r="AC584" s="90"/>
      <c r="AD584" s="199"/>
      <c r="AE584" s="234"/>
      <c r="AF584" s="146"/>
      <c r="AG584" s="146"/>
      <c r="AH584" s="200"/>
      <c r="AI584" s="199"/>
      <c r="AJ584" s="197"/>
      <c r="AK584" s="146"/>
      <c r="AL584" s="146"/>
      <c r="AM584" s="32"/>
      <c r="AN584" s="199"/>
      <c r="AO584" s="197"/>
      <c r="AP584" s="146"/>
      <c r="AQ584" s="146"/>
      <c r="AR584" s="32"/>
      <c r="AS584" s="199"/>
      <c r="AT584" s="197"/>
      <c r="AU584" s="146"/>
      <c r="AV584" s="146"/>
      <c r="AW584" s="30"/>
      <c r="AX584" s="199"/>
      <c r="AY584" s="197"/>
      <c r="AZ584" s="177"/>
      <c r="BA584" s="177">
        <f t="shared" si="21"/>
        <v>0</v>
      </c>
      <c r="BB584" s="9"/>
    </row>
    <row r="585" spans="1:54" ht="29" x14ac:dyDescent="0.35">
      <c r="A585" s="54"/>
      <c r="B585" s="346" t="s">
        <v>363</v>
      </c>
      <c r="C585" s="189"/>
      <c r="D585" s="202"/>
      <c r="E585" s="203">
        <v>0</v>
      </c>
      <c r="F585" s="204">
        <v>0</v>
      </c>
      <c r="G585" s="204">
        <f>SUM(G586:G591)</f>
        <v>10708.018970755704</v>
      </c>
      <c r="H585" s="189"/>
      <c r="I585" s="202"/>
      <c r="J585" s="253"/>
      <c r="K585" s="254"/>
      <c r="L585" s="206">
        <f>SUM(L586:L591)</f>
        <v>0</v>
      </c>
      <c r="M585" s="207"/>
      <c r="N585" s="202"/>
      <c r="O585" s="203"/>
      <c r="P585" s="206"/>
      <c r="Q585" s="206">
        <f>SUM(Q586:Q591)</f>
        <v>5354.0094853778519</v>
      </c>
      <c r="R585" s="194"/>
      <c r="S585" s="202"/>
      <c r="T585" s="203"/>
      <c r="U585" s="206"/>
      <c r="V585" s="206">
        <f>SUM(V586:V591)</f>
        <v>5354.0094853778519</v>
      </c>
      <c r="W585" s="194"/>
      <c r="X585" s="202"/>
      <c r="Y585" s="203"/>
      <c r="Z585" s="206"/>
      <c r="AA585" s="206">
        <f>SUM(AA586:AA591)</f>
        <v>0</v>
      </c>
      <c r="AB585" s="189"/>
      <c r="AC585" s="195"/>
      <c r="AD585" s="202"/>
      <c r="AE585" s="253"/>
      <c r="AF585" s="254"/>
      <c r="AG585" s="206">
        <v>0</v>
      </c>
      <c r="AH585" s="209"/>
      <c r="AI585" s="202"/>
      <c r="AJ585" s="203"/>
      <c r="AK585" s="206"/>
      <c r="AL585" s="206"/>
      <c r="AM585" s="196"/>
      <c r="AN585" s="202"/>
      <c r="AO585" s="203"/>
      <c r="AP585" s="206"/>
      <c r="AQ585" s="206"/>
      <c r="AR585" s="196"/>
      <c r="AS585" s="202"/>
      <c r="AT585" s="203"/>
      <c r="AU585" s="206"/>
      <c r="AV585" s="206"/>
      <c r="AW585" s="194"/>
      <c r="AX585" s="202"/>
      <c r="AY585" s="203"/>
      <c r="AZ585" s="204"/>
      <c r="BA585" s="204">
        <f t="shared" si="21"/>
        <v>0</v>
      </c>
      <c r="BB585" s="9"/>
    </row>
    <row r="586" spans="1:54" x14ac:dyDescent="0.35">
      <c r="A586" s="54"/>
      <c r="B586" s="210" t="s">
        <v>202</v>
      </c>
      <c r="C586" s="42"/>
      <c r="D586" s="199"/>
      <c r="E586" s="197"/>
      <c r="F586" s="146"/>
      <c r="G586" s="146"/>
      <c r="H586" s="42"/>
      <c r="I586" s="199"/>
      <c r="J586" s="197"/>
      <c r="K586" s="146"/>
      <c r="L586" s="146"/>
      <c r="M586" s="178"/>
      <c r="N586" s="199"/>
      <c r="O586" s="197"/>
      <c r="P586" s="146"/>
      <c r="Q586" s="146"/>
      <c r="R586" s="30"/>
      <c r="S586" s="199"/>
      <c r="T586" s="197"/>
      <c r="U586" s="146"/>
      <c r="V586" s="146"/>
      <c r="W586" s="30"/>
      <c r="X586" s="199"/>
      <c r="Y586" s="197"/>
      <c r="Z586" s="146"/>
      <c r="AA586" s="146"/>
      <c r="AB586" s="42"/>
      <c r="AC586" s="46"/>
      <c r="AD586" s="199"/>
      <c r="AE586" s="197"/>
      <c r="AF586" s="146"/>
      <c r="AG586" s="146"/>
      <c r="AH586" s="200"/>
      <c r="AI586" s="199"/>
      <c r="AJ586" s="197"/>
      <c r="AK586" s="146"/>
      <c r="AL586" s="146"/>
      <c r="AM586" s="32"/>
      <c r="AN586" s="199"/>
      <c r="AO586" s="197"/>
      <c r="AP586" s="146"/>
      <c r="AQ586" s="146"/>
      <c r="AR586" s="32"/>
      <c r="AS586" s="199"/>
      <c r="AT586" s="197"/>
      <c r="AU586" s="146"/>
      <c r="AV586" s="146"/>
      <c r="AW586" s="30"/>
      <c r="AX586" s="199"/>
      <c r="AY586" s="197"/>
      <c r="AZ586" s="146"/>
      <c r="BA586" s="177">
        <f t="shared" si="21"/>
        <v>0</v>
      </c>
      <c r="BB586" s="9"/>
    </row>
    <row r="587" spans="1:54" x14ac:dyDescent="0.35">
      <c r="A587" s="54"/>
      <c r="B587" s="55" t="s">
        <v>203</v>
      </c>
      <c r="C587" s="42"/>
      <c r="D587" s="199"/>
      <c r="E587" s="197">
        <v>0</v>
      </c>
      <c r="F587" s="177">
        <v>0</v>
      </c>
      <c r="G587" s="177">
        <v>0</v>
      </c>
      <c r="H587" s="42"/>
      <c r="I587" s="176"/>
      <c r="J587" s="197"/>
      <c r="K587" s="146"/>
      <c r="L587" s="146"/>
      <c r="M587" s="178"/>
      <c r="N587" s="199"/>
      <c r="O587" s="197"/>
      <c r="P587" s="146"/>
      <c r="Q587" s="146"/>
      <c r="R587" s="30"/>
      <c r="S587" s="199"/>
      <c r="T587" s="197"/>
      <c r="U587" s="146"/>
      <c r="V587" s="146"/>
      <c r="W587" s="30"/>
      <c r="X587" s="199"/>
      <c r="Y587" s="197"/>
      <c r="Z587" s="146"/>
      <c r="AA587" s="146"/>
      <c r="AB587" s="42"/>
      <c r="AC587" s="46"/>
      <c r="AD587" s="176"/>
      <c r="AE587" s="197"/>
      <c r="AF587" s="146"/>
      <c r="AG587" s="146"/>
      <c r="AH587" s="200"/>
      <c r="AI587" s="199"/>
      <c r="AJ587" s="197"/>
      <c r="AK587" s="146"/>
      <c r="AL587" s="146"/>
      <c r="AM587" s="32"/>
      <c r="AN587" s="199"/>
      <c r="AO587" s="197"/>
      <c r="AP587" s="146"/>
      <c r="AQ587" s="146"/>
      <c r="AR587" s="32"/>
      <c r="AS587" s="199"/>
      <c r="AT587" s="197"/>
      <c r="AU587" s="146"/>
      <c r="AV587" s="146"/>
      <c r="AW587" s="30"/>
      <c r="AX587" s="199"/>
      <c r="AY587" s="197"/>
      <c r="AZ587" s="177"/>
      <c r="BA587" s="177">
        <f t="shared" si="21"/>
        <v>0</v>
      </c>
      <c r="BB587" s="9"/>
    </row>
    <row r="588" spans="1:54" x14ac:dyDescent="0.35">
      <c r="A588" s="54"/>
      <c r="B588" s="55" t="s">
        <v>364</v>
      </c>
      <c r="C588" s="87" t="s">
        <v>65</v>
      </c>
      <c r="D588" s="176" t="s">
        <v>56</v>
      </c>
      <c r="E588" s="197">
        <v>288</v>
      </c>
      <c r="F588" s="177">
        <v>30.489803447482075</v>
      </c>
      <c r="G588" s="177">
        <v>8781.0633928748375</v>
      </c>
      <c r="H588" s="87"/>
      <c r="I588" s="176" t="s">
        <v>56</v>
      </c>
      <c r="J588" s="347"/>
      <c r="K588" s="146">
        <v>30.489803447482075</v>
      </c>
      <c r="L588" s="146">
        <v>0</v>
      </c>
      <c r="M588" s="178"/>
      <c r="N588" s="176" t="s">
        <v>56</v>
      </c>
      <c r="O588" s="347">
        <v>144</v>
      </c>
      <c r="P588" s="146">
        <v>30.489803447482075</v>
      </c>
      <c r="Q588" s="146">
        <v>4390.5316964374188</v>
      </c>
      <c r="R588" s="30"/>
      <c r="S588" s="176" t="s">
        <v>56</v>
      </c>
      <c r="T588" s="347">
        <v>144</v>
      </c>
      <c r="U588" s="146">
        <v>30.489803447482075</v>
      </c>
      <c r="V588" s="146">
        <v>4390.5316964374188</v>
      </c>
      <c r="W588" s="30"/>
      <c r="X588" s="176"/>
      <c r="Y588" s="347"/>
      <c r="Z588" s="307"/>
      <c r="AA588" s="212">
        <v>0</v>
      </c>
      <c r="AB588" s="87"/>
      <c r="AC588" s="90"/>
      <c r="AD588" s="176"/>
      <c r="AE588" s="347"/>
      <c r="AF588" s="146"/>
      <c r="AG588" s="146"/>
      <c r="AH588" s="200"/>
      <c r="AI588" s="176"/>
      <c r="AJ588" s="347"/>
      <c r="AK588" s="146"/>
      <c r="AL588" s="146"/>
      <c r="AM588" s="32"/>
      <c r="AN588" s="176"/>
      <c r="AO588" s="347"/>
      <c r="AP588" s="146"/>
      <c r="AQ588" s="146"/>
      <c r="AR588" s="32"/>
      <c r="AS588" s="176"/>
      <c r="AT588" s="347"/>
      <c r="AU588" s="307"/>
      <c r="AV588" s="212"/>
      <c r="AW588" s="30"/>
      <c r="AX588" s="176"/>
      <c r="AY588" s="197"/>
      <c r="AZ588" s="177"/>
      <c r="BA588" s="177">
        <f t="shared" si="21"/>
        <v>0</v>
      </c>
      <c r="BB588" s="9"/>
    </row>
    <row r="589" spans="1:54" x14ac:dyDescent="0.35">
      <c r="A589" s="54"/>
      <c r="B589" s="55" t="s">
        <v>211</v>
      </c>
      <c r="C589" s="87"/>
      <c r="D589" s="176"/>
      <c r="E589" s="197">
        <v>0</v>
      </c>
      <c r="F589" s="177">
        <v>0</v>
      </c>
      <c r="G589" s="177">
        <v>0</v>
      </c>
      <c r="H589" s="87"/>
      <c r="I589" s="176"/>
      <c r="J589" s="347"/>
      <c r="K589" s="307"/>
      <c r="L589" s="146"/>
      <c r="M589" s="178"/>
      <c r="N589" s="176"/>
      <c r="O589" s="347"/>
      <c r="P589" s="307"/>
      <c r="Q589" s="146"/>
      <c r="R589" s="30"/>
      <c r="S589" s="176"/>
      <c r="T589" s="347"/>
      <c r="U589" s="307"/>
      <c r="V589" s="146"/>
      <c r="W589" s="30"/>
      <c r="X589" s="176"/>
      <c r="Y589" s="347"/>
      <c r="Z589" s="307"/>
      <c r="AA589" s="212"/>
      <c r="AB589" s="87"/>
      <c r="AC589" s="90"/>
      <c r="AD589" s="176"/>
      <c r="AE589" s="347"/>
      <c r="AF589" s="307"/>
      <c r="AG589" s="146"/>
      <c r="AH589" s="200"/>
      <c r="AI589" s="176"/>
      <c r="AJ589" s="347"/>
      <c r="AK589" s="307"/>
      <c r="AL589" s="146"/>
      <c r="AM589" s="32"/>
      <c r="AN589" s="176"/>
      <c r="AO589" s="347"/>
      <c r="AP589" s="307"/>
      <c r="AQ589" s="146"/>
      <c r="AR589" s="32"/>
      <c r="AS589" s="176"/>
      <c r="AT589" s="347"/>
      <c r="AU589" s="307"/>
      <c r="AV589" s="212"/>
      <c r="AW589" s="30"/>
      <c r="AX589" s="176"/>
      <c r="AY589" s="197"/>
      <c r="AZ589" s="177"/>
      <c r="BA589" s="177">
        <f t="shared" si="21"/>
        <v>0</v>
      </c>
      <c r="BB589" s="9"/>
    </row>
    <row r="590" spans="1:54" x14ac:dyDescent="0.35">
      <c r="A590" s="54"/>
      <c r="B590" s="55" t="s">
        <v>365</v>
      </c>
      <c r="C590" s="87" t="s">
        <v>65</v>
      </c>
      <c r="D590" s="176" t="s">
        <v>366</v>
      </c>
      <c r="E590" s="197">
        <v>288</v>
      </c>
      <c r="F590" s="177">
        <v>4.5734705171223116</v>
      </c>
      <c r="G590" s="177">
        <v>1317.1595089312257</v>
      </c>
      <c r="H590" s="87"/>
      <c r="I590" s="176" t="s">
        <v>214</v>
      </c>
      <c r="J590" s="234"/>
      <c r="K590" s="146">
        <v>4.5734705171223116</v>
      </c>
      <c r="L590" s="146">
        <v>0</v>
      </c>
      <c r="M590" s="178"/>
      <c r="N590" s="176" t="s">
        <v>214</v>
      </c>
      <c r="O590" s="234">
        <v>144</v>
      </c>
      <c r="P590" s="146">
        <v>4.5734705171223116</v>
      </c>
      <c r="Q590" s="146">
        <v>658.57975446561284</v>
      </c>
      <c r="R590" s="30"/>
      <c r="S590" s="176" t="s">
        <v>214</v>
      </c>
      <c r="T590" s="234">
        <v>144</v>
      </c>
      <c r="U590" s="146">
        <v>4.5734705171223116</v>
      </c>
      <c r="V590" s="146">
        <v>658.57975446561284</v>
      </c>
      <c r="W590" s="30"/>
      <c r="X590" s="199"/>
      <c r="Y590" s="197"/>
      <c r="Z590" s="146"/>
      <c r="AA590" s="212"/>
      <c r="AB590" s="87"/>
      <c r="AC590" s="90"/>
      <c r="AD590" s="176"/>
      <c r="AE590" s="234"/>
      <c r="AF590" s="146"/>
      <c r="AG590" s="146"/>
      <c r="AH590" s="200"/>
      <c r="AI590" s="176"/>
      <c r="AJ590" s="234"/>
      <c r="AK590" s="146"/>
      <c r="AL590" s="146"/>
      <c r="AM590" s="32"/>
      <c r="AN590" s="176"/>
      <c r="AO590" s="234"/>
      <c r="AP590" s="146"/>
      <c r="AQ590" s="146"/>
      <c r="AR590" s="32"/>
      <c r="AS590" s="199"/>
      <c r="AT590" s="197"/>
      <c r="AU590" s="146"/>
      <c r="AV590" s="212"/>
      <c r="AW590" s="30"/>
      <c r="AX590" s="176"/>
      <c r="AY590" s="197"/>
      <c r="AZ590" s="177"/>
      <c r="BA590" s="177">
        <f t="shared" si="21"/>
        <v>0</v>
      </c>
      <c r="BB590" s="9"/>
    </row>
    <row r="591" spans="1:54" x14ac:dyDescent="0.35">
      <c r="A591" s="54"/>
      <c r="B591" s="55" t="s">
        <v>367</v>
      </c>
      <c r="C591" s="87" t="s">
        <v>65</v>
      </c>
      <c r="D591" s="176" t="s">
        <v>368</v>
      </c>
      <c r="E591" s="197">
        <v>16</v>
      </c>
      <c r="F591" s="177">
        <v>38.112254309352593</v>
      </c>
      <c r="G591" s="177">
        <v>609.79606894964149</v>
      </c>
      <c r="H591" s="87"/>
      <c r="I591" s="176" t="s">
        <v>368</v>
      </c>
      <c r="J591" s="234"/>
      <c r="K591" s="146">
        <v>38.112254309352593</v>
      </c>
      <c r="L591" s="146">
        <v>0</v>
      </c>
      <c r="M591" s="178"/>
      <c r="N591" s="176" t="s">
        <v>368</v>
      </c>
      <c r="O591" s="234">
        <v>8</v>
      </c>
      <c r="P591" s="146">
        <v>38.112254309352593</v>
      </c>
      <c r="Q591" s="146">
        <v>304.89803447482075</v>
      </c>
      <c r="R591" s="30"/>
      <c r="S591" s="176" t="s">
        <v>368</v>
      </c>
      <c r="T591" s="234">
        <v>8</v>
      </c>
      <c r="U591" s="146">
        <v>38.112254309352593</v>
      </c>
      <c r="V591" s="146">
        <v>304.89803447482075</v>
      </c>
      <c r="W591" s="30"/>
      <c r="X591" s="199"/>
      <c r="Y591" s="197"/>
      <c r="Z591" s="146"/>
      <c r="AA591" s="212"/>
      <c r="AB591" s="87"/>
      <c r="AC591" s="90"/>
      <c r="AD591" s="176"/>
      <c r="AE591" s="234"/>
      <c r="AF591" s="146"/>
      <c r="AG591" s="146"/>
      <c r="AH591" s="200"/>
      <c r="AI591" s="176"/>
      <c r="AJ591" s="234"/>
      <c r="AK591" s="146"/>
      <c r="AL591" s="146"/>
      <c r="AM591" s="32"/>
      <c r="AN591" s="176"/>
      <c r="AO591" s="234"/>
      <c r="AP591" s="146"/>
      <c r="AQ591" s="146"/>
      <c r="AR591" s="32"/>
      <c r="AS591" s="199"/>
      <c r="AT591" s="197"/>
      <c r="AU591" s="146"/>
      <c r="AV591" s="212"/>
      <c r="AW591" s="30"/>
      <c r="AX591" s="176"/>
      <c r="AY591" s="197"/>
      <c r="AZ591" s="177"/>
      <c r="BA591" s="177">
        <f t="shared" si="21"/>
        <v>0</v>
      </c>
      <c r="BB591" s="9"/>
    </row>
    <row r="592" spans="1:54" ht="29" x14ac:dyDescent="0.35">
      <c r="A592" s="54"/>
      <c r="B592" s="348" t="s">
        <v>369</v>
      </c>
      <c r="C592" s="189" t="s">
        <v>309</v>
      </c>
      <c r="D592" s="214" t="s">
        <v>272</v>
      </c>
      <c r="E592" s="225">
        <v>10</v>
      </c>
      <c r="F592" s="205">
        <v>2134.2862413237453</v>
      </c>
      <c r="G592" s="206">
        <v>21342.862413237453</v>
      </c>
      <c r="H592" s="189"/>
      <c r="I592" s="214" t="s">
        <v>272</v>
      </c>
      <c r="J592" s="225">
        <v>10</v>
      </c>
      <c r="K592" s="205">
        <v>2134.2862413237453</v>
      </c>
      <c r="L592" s="206">
        <v>21342.862413237453</v>
      </c>
      <c r="M592" s="207"/>
      <c r="N592" s="214"/>
      <c r="O592" s="225"/>
      <c r="P592" s="206"/>
      <c r="Q592" s="206"/>
      <c r="R592" s="194"/>
      <c r="S592" s="214"/>
      <c r="T592" s="225"/>
      <c r="U592" s="206"/>
      <c r="V592" s="206"/>
      <c r="W592" s="194"/>
      <c r="X592" s="202"/>
      <c r="Y592" s="203"/>
      <c r="Z592" s="206"/>
      <c r="AA592" s="206"/>
      <c r="AB592" s="189"/>
      <c r="AC592" s="195"/>
      <c r="AD592" s="214"/>
      <c r="AE592" s="225"/>
      <c r="AF592" s="205"/>
      <c r="AG592" s="206">
        <v>0</v>
      </c>
      <c r="AH592" s="209"/>
      <c r="AI592" s="214"/>
      <c r="AJ592" s="225"/>
      <c r="AK592" s="206"/>
      <c r="AL592" s="206"/>
      <c r="AM592" s="196"/>
      <c r="AN592" s="214"/>
      <c r="AO592" s="225"/>
      <c r="AP592" s="206"/>
      <c r="AQ592" s="206"/>
      <c r="AR592" s="196"/>
      <c r="AS592" s="202"/>
      <c r="AT592" s="203"/>
      <c r="AU592" s="206"/>
      <c r="AV592" s="206"/>
      <c r="AW592" s="194"/>
      <c r="AX592" s="214"/>
      <c r="AY592" s="225"/>
      <c r="AZ592" s="205"/>
      <c r="BA592" s="204">
        <f t="shared" si="21"/>
        <v>0</v>
      </c>
      <c r="BB592" s="9"/>
    </row>
    <row r="593" spans="1:54" ht="29" x14ac:dyDescent="0.35">
      <c r="A593" s="54"/>
      <c r="B593" s="348" t="s">
        <v>370</v>
      </c>
      <c r="C593" s="189" t="s">
        <v>309</v>
      </c>
      <c r="D593" s="214" t="s">
        <v>272</v>
      </c>
      <c r="E593" s="225">
        <v>10</v>
      </c>
      <c r="F593" s="205">
        <v>762.24508618705192</v>
      </c>
      <c r="G593" s="206">
        <v>7622.4508618705195</v>
      </c>
      <c r="H593" s="189"/>
      <c r="I593" s="214" t="s">
        <v>272</v>
      </c>
      <c r="J593" s="225">
        <v>10</v>
      </c>
      <c r="K593" s="205">
        <v>762.24508618705192</v>
      </c>
      <c r="L593" s="206">
        <v>7622.4508618705195</v>
      </c>
      <c r="M593" s="207"/>
      <c r="N593" s="214"/>
      <c r="O593" s="225"/>
      <c r="P593" s="206"/>
      <c r="Q593" s="206"/>
      <c r="R593" s="194"/>
      <c r="S593" s="214"/>
      <c r="T593" s="225"/>
      <c r="U593" s="206"/>
      <c r="V593" s="206"/>
      <c r="W593" s="194"/>
      <c r="X593" s="202"/>
      <c r="Y593" s="203"/>
      <c r="Z593" s="206"/>
      <c r="AA593" s="206"/>
      <c r="AB593" s="189"/>
      <c r="AC593" s="195"/>
      <c r="AD593" s="214"/>
      <c r="AE593" s="225"/>
      <c r="AF593" s="205"/>
      <c r="AG593" s="206">
        <v>0</v>
      </c>
      <c r="AH593" s="209"/>
      <c r="AI593" s="214"/>
      <c r="AJ593" s="225"/>
      <c r="AK593" s="206"/>
      <c r="AL593" s="206"/>
      <c r="AM593" s="196"/>
      <c r="AN593" s="214"/>
      <c r="AO593" s="225"/>
      <c r="AP593" s="206"/>
      <c r="AQ593" s="206"/>
      <c r="AR593" s="196"/>
      <c r="AS593" s="202"/>
      <c r="AT593" s="203"/>
      <c r="AU593" s="206"/>
      <c r="AV593" s="206"/>
      <c r="AW593" s="194"/>
      <c r="AX593" s="214"/>
      <c r="AY593" s="225"/>
      <c r="AZ593" s="205"/>
      <c r="BA593" s="204">
        <f t="shared" si="21"/>
        <v>0</v>
      </c>
      <c r="BB593" s="9"/>
    </row>
    <row r="594" spans="1:54" ht="29" x14ac:dyDescent="0.35">
      <c r="A594" s="54"/>
      <c r="B594" s="348" t="s">
        <v>371</v>
      </c>
      <c r="C594" s="189" t="s">
        <v>309</v>
      </c>
      <c r="D594" s="214" t="s">
        <v>278</v>
      </c>
      <c r="E594" s="225">
        <v>10</v>
      </c>
      <c r="F594" s="205">
        <v>3658.776413697849</v>
      </c>
      <c r="G594" s="206">
        <v>36587.764136978491</v>
      </c>
      <c r="H594" s="189"/>
      <c r="I594" s="214" t="s">
        <v>278</v>
      </c>
      <c r="J594" s="225">
        <v>10</v>
      </c>
      <c r="K594" s="205">
        <v>3658.776413697849</v>
      </c>
      <c r="L594" s="206">
        <v>36587.764136978491</v>
      </c>
      <c r="M594" s="207"/>
      <c r="N594" s="214"/>
      <c r="O594" s="225"/>
      <c r="P594" s="206"/>
      <c r="Q594" s="206"/>
      <c r="R594" s="194"/>
      <c r="S594" s="214"/>
      <c r="T594" s="225"/>
      <c r="U594" s="206"/>
      <c r="V594" s="206"/>
      <c r="W594" s="194"/>
      <c r="X594" s="202"/>
      <c r="Y594" s="203"/>
      <c r="Z594" s="206"/>
      <c r="AA594" s="206"/>
      <c r="AB594" s="189"/>
      <c r="AC594" s="195"/>
      <c r="AD594" s="214"/>
      <c r="AE594" s="225"/>
      <c r="AF594" s="205"/>
      <c r="AG594" s="206">
        <v>0</v>
      </c>
      <c r="AH594" s="209"/>
      <c r="AI594" s="214"/>
      <c r="AJ594" s="225"/>
      <c r="AK594" s="206"/>
      <c r="AL594" s="206"/>
      <c r="AM594" s="196"/>
      <c r="AN594" s="214"/>
      <c r="AO594" s="225"/>
      <c r="AP594" s="206"/>
      <c r="AQ594" s="206"/>
      <c r="AR594" s="196"/>
      <c r="AS594" s="202"/>
      <c r="AT594" s="203"/>
      <c r="AU594" s="206"/>
      <c r="AV594" s="206"/>
      <c r="AW594" s="194"/>
      <c r="AX594" s="214"/>
      <c r="AY594" s="225"/>
      <c r="AZ594" s="205"/>
      <c r="BA594" s="204">
        <f t="shared" si="21"/>
        <v>0</v>
      </c>
      <c r="BB594" s="9"/>
    </row>
    <row r="595" spans="1:54" ht="29" x14ac:dyDescent="0.35">
      <c r="A595" s="54"/>
      <c r="B595" s="348" t="s">
        <v>372</v>
      </c>
      <c r="C595" s="189" t="s">
        <v>309</v>
      </c>
      <c r="D595" s="214" t="s">
        <v>278</v>
      </c>
      <c r="E595" s="225">
        <v>10</v>
      </c>
      <c r="F595" s="205">
        <v>762.24508618705192</v>
      </c>
      <c r="G595" s="206">
        <v>7622.4508618705195</v>
      </c>
      <c r="H595" s="189"/>
      <c r="I595" s="214" t="s">
        <v>278</v>
      </c>
      <c r="J595" s="225">
        <v>10</v>
      </c>
      <c r="K595" s="205">
        <v>762.24508618705192</v>
      </c>
      <c r="L595" s="206">
        <v>7622.4508618705195</v>
      </c>
      <c r="M595" s="207"/>
      <c r="N595" s="214"/>
      <c r="O595" s="225"/>
      <c r="P595" s="206"/>
      <c r="Q595" s="206"/>
      <c r="R595" s="194"/>
      <c r="S595" s="214"/>
      <c r="T595" s="225"/>
      <c r="U595" s="206"/>
      <c r="V595" s="206"/>
      <c r="W595" s="194"/>
      <c r="X595" s="202"/>
      <c r="Y595" s="203"/>
      <c r="Z595" s="206"/>
      <c r="AA595" s="206"/>
      <c r="AB595" s="189"/>
      <c r="AC595" s="195"/>
      <c r="AD595" s="214"/>
      <c r="AE595" s="225"/>
      <c r="AF595" s="205"/>
      <c r="AG595" s="206">
        <v>0</v>
      </c>
      <c r="AH595" s="209"/>
      <c r="AI595" s="214"/>
      <c r="AJ595" s="225"/>
      <c r="AK595" s="206"/>
      <c r="AL595" s="206"/>
      <c r="AM595" s="196"/>
      <c r="AN595" s="214"/>
      <c r="AO595" s="225"/>
      <c r="AP595" s="206"/>
      <c r="AQ595" s="206"/>
      <c r="AR595" s="196"/>
      <c r="AS595" s="202"/>
      <c r="AT595" s="203"/>
      <c r="AU595" s="206"/>
      <c r="AV595" s="206"/>
      <c r="AW595" s="194"/>
      <c r="AX595" s="214"/>
      <c r="AY595" s="225"/>
      <c r="AZ595" s="205"/>
      <c r="BA595" s="204">
        <f t="shared" si="21"/>
        <v>0</v>
      </c>
      <c r="BB595" s="9"/>
    </row>
    <row r="596" spans="1:54" ht="25" x14ac:dyDescent="0.35">
      <c r="A596" s="54"/>
      <c r="B596" s="348" t="s">
        <v>281</v>
      </c>
      <c r="C596" s="189" t="s">
        <v>309</v>
      </c>
      <c r="D596" s="214"/>
      <c r="E596" s="203"/>
      <c r="F596" s="204"/>
      <c r="G596" s="204"/>
      <c r="H596" s="189"/>
      <c r="I596" s="214" t="s">
        <v>373</v>
      </c>
      <c r="J596" s="225"/>
      <c r="K596" s="257"/>
      <c r="L596" s="206">
        <v>0</v>
      </c>
      <c r="M596" s="207"/>
      <c r="N596" s="214"/>
      <c r="O596" s="225"/>
      <c r="P596" s="206"/>
      <c r="Q596" s="206"/>
      <c r="R596" s="194"/>
      <c r="S596" s="214"/>
      <c r="T596" s="225"/>
      <c r="U596" s="206"/>
      <c r="V596" s="206"/>
      <c r="W596" s="194"/>
      <c r="X596" s="202"/>
      <c r="Y596" s="203"/>
      <c r="Z596" s="206"/>
      <c r="AA596" s="206"/>
      <c r="AB596" s="189"/>
      <c r="AC596" s="195"/>
      <c r="AD596" s="214"/>
      <c r="AE596" s="225"/>
      <c r="AF596" s="257"/>
      <c r="AG596" s="206">
        <v>0</v>
      </c>
      <c r="AH596" s="209"/>
      <c r="AI596" s="214"/>
      <c r="AJ596" s="225"/>
      <c r="AK596" s="206"/>
      <c r="AL596" s="206"/>
      <c r="AM596" s="196"/>
      <c r="AN596" s="214"/>
      <c r="AO596" s="225"/>
      <c r="AP596" s="206"/>
      <c r="AQ596" s="206"/>
      <c r="AR596" s="196"/>
      <c r="AS596" s="202"/>
      <c r="AT596" s="203"/>
      <c r="AU596" s="206"/>
      <c r="AV596" s="206"/>
      <c r="AW596" s="194"/>
      <c r="AX596" s="214"/>
      <c r="AY596" s="203"/>
      <c r="AZ596" s="204"/>
      <c r="BA596" s="204">
        <f t="shared" si="21"/>
        <v>0</v>
      </c>
      <c r="BB596" s="9"/>
    </row>
    <row r="597" spans="1:54" ht="29" x14ac:dyDescent="0.35">
      <c r="A597" s="54"/>
      <c r="B597" s="348" t="s">
        <v>374</v>
      </c>
      <c r="C597" s="189" t="s">
        <v>309</v>
      </c>
      <c r="D597" s="214"/>
      <c r="E597" s="203"/>
      <c r="F597" s="204"/>
      <c r="G597" s="204"/>
      <c r="H597" s="189"/>
      <c r="I597" s="214"/>
      <c r="J597" s="225"/>
      <c r="K597" s="257"/>
      <c r="L597" s="206">
        <v>0</v>
      </c>
      <c r="M597" s="207"/>
      <c r="N597" s="214"/>
      <c r="O597" s="225"/>
      <c r="P597" s="206"/>
      <c r="Q597" s="206"/>
      <c r="R597" s="194"/>
      <c r="S597" s="214"/>
      <c r="T597" s="225"/>
      <c r="U597" s="206"/>
      <c r="V597" s="206"/>
      <c r="W597" s="194"/>
      <c r="X597" s="202"/>
      <c r="Y597" s="203"/>
      <c r="Z597" s="206"/>
      <c r="AA597" s="206"/>
      <c r="AB597" s="189"/>
      <c r="AC597" s="195"/>
      <c r="AD597" s="214"/>
      <c r="AE597" s="225"/>
      <c r="AF597" s="257"/>
      <c r="AG597" s="206">
        <v>0</v>
      </c>
      <c r="AH597" s="209"/>
      <c r="AI597" s="214"/>
      <c r="AJ597" s="225"/>
      <c r="AK597" s="206"/>
      <c r="AL597" s="206"/>
      <c r="AM597" s="196"/>
      <c r="AN597" s="214"/>
      <c r="AO597" s="225"/>
      <c r="AP597" s="206"/>
      <c r="AQ597" s="206"/>
      <c r="AR597" s="196"/>
      <c r="AS597" s="202"/>
      <c r="AT597" s="203"/>
      <c r="AU597" s="206"/>
      <c r="AV597" s="206"/>
      <c r="AW597" s="194"/>
      <c r="AX597" s="214"/>
      <c r="AY597" s="203"/>
      <c r="AZ597" s="204"/>
      <c r="BA597" s="204">
        <f t="shared" si="21"/>
        <v>0</v>
      </c>
      <c r="BB597" s="9"/>
    </row>
    <row r="598" spans="1:54" ht="29" x14ac:dyDescent="0.35">
      <c r="A598" s="54"/>
      <c r="B598" s="348" t="s">
        <v>375</v>
      </c>
      <c r="C598" s="189" t="s">
        <v>309</v>
      </c>
      <c r="D598" s="214"/>
      <c r="E598" s="203">
        <v>60</v>
      </c>
      <c r="F598" s="257">
        <v>1200</v>
      </c>
      <c r="G598" s="206">
        <v>72000</v>
      </c>
      <c r="H598" s="189"/>
      <c r="I598" s="214"/>
      <c r="J598" s="203">
        <v>60</v>
      </c>
      <c r="K598" s="257">
        <v>1200</v>
      </c>
      <c r="L598" s="206">
        <v>72000</v>
      </c>
      <c r="M598" s="207"/>
      <c r="N598" s="214"/>
      <c r="O598" s="225"/>
      <c r="P598" s="206"/>
      <c r="Q598" s="206"/>
      <c r="R598" s="194"/>
      <c r="S598" s="214"/>
      <c r="T598" s="225"/>
      <c r="U598" s="206"/>
      <c r="V598" s="206"/>
      <c r="W598" s="194"/>
      <c r="X598" s="202"/>
      <c r="Y598" s="203"/>
      <c r="Z598" s="206"/>
      <c r="AA598" s="206"/>
      <c r="AB598" s="189"/>
      <c r="AC598" s="195"/>
      <c r="AD598" s="214"/>
      <c r="AE598" s="203"/>
      <c r="AF598" s="257"/>
      <c r="AG598" s="206">
        <v>56626.982000000004</v>
      </c>
      <c r="AH598" s="209"/>
      <c r="AI598" s="214"/>
      <c r="AJ598" s="225"/>
      <c r="AK598" s="206"/>
      <c r="AL598" s="206"/>
      <c r="AM598" s="196"/>
      <c r="AN598" s="214"/>
      <c r="AO598" s="225"/>
      <c r="AP598" s="206"/>
      <c r="AQ598" s="206"/>
      <c r="AR598" s="196"/>
      <c r="AS598" s="202"/>
      <c r="AT598" s="203"/>
      <c r="AU598" s="206"/>
      <c r="AV598" s="206"/>
      <c r="AW598" s="194"/>
      <c r="AX598" s="214"/>
      <c r="AY598" s="203"/>
      <c r="AZ598" s="257"/>
      <c r="BA598" s="204">
        <f t="shared" si="21"/>
        <v>56626.982000000004</v>
      </c>
      <c r="BB598" s="9"/>
    </row>
    <row r="599" spans="1:54" x14ac:dyDescent="0.35">
      <c r="A599" s="54"/>
      <c r="B599" s="348" t="s">
        <v>376</v>
      </c>
      <c r="C599" s="189" t="s">
        <v>309</v>
      </c>
      <c r="D599" s="214"/>
      <c r="E599" s="203">
        <v>60</v>
      </c>
      <c r="F599" s="257">
        <v>550</v>
      </c>
      <c r="G599" s="206">
        <v>33000</v>
      </c>
      <c r="H599" s="189"/>
      <c r="I599" s="214"/>
      <c r="J599" s="203">
        <v>60</v>
      </c>
      <c r="K599" s="257">
        <v>550</v>
      </c>
      <c r="L599" s="206">
        <v>33000</v>
      </c>
      <c r="M599" s="207"/>
      <c r="N599" s="214"/>
      <c r="O599" s="225"/>
      <c r="P599" s="206"/>
      <c r="Q599" s="206"/>
      <c r="R599" s="194"/>
      <c r="S599" s="214"/>
      <c r="T599" s="225"/>
      <c r="U599" s="206"/>
      <c r="V599" s="206"/>
      <c r="W599" s="194"/>
      <c r="X599" s="202"/>
      <c r="Y599" s="203"/>
      <c r="Z599" s="206"/>
      <c r="AA599" s="206"/>
      <c r="AB599" s="189"/>
      <c r="AC599" s="195"/>
      <c r="AD599" s="214"/>
      <c r="AE599" s="203"/>
      <c r="AF599" s="257"/>
      <c r="AG599" s="206">
        <v>31621.502000000008</v>
      </c>
      <c r="AH599" s="209"/>
      <c r="AI599" s="214"/>
      <c r="AJ599" s="225"/>
      <c r="AK599" s="206"/>
      <c r="AL599" s="206"/>
      <c r="AM599" s="196"/>
      <c r="AN599" s="214"/>
      <c r="AO599" s="225"/>
      <c r="AP599" s="206"/>
      <c r="AQ599" s="206"/>
      <c r="AR599" s="196"/>
      <c r="AS599" s="202"/>
      <c r="AT599" s="203"/>
      <c r="AU599" s="206"/>
      <c r="AV599" s="206"/>
      <c r="AW599" s="194"/>
      <c r="AX599" s="214"/>
      <c r="AY599" s="203"/>
      <c r="AZ599" s="257"/>
      <c r="BA599" s="204">
        <f t="shared" si="21"/>
        <v>31621.502000000008</v>
      </c>
      <c r="BB599" s="9"/>
    </row>
    <row r="600" spans="1:54" ht="29" x14ac:dyDescent="0.35">
      <c r="A600" s="54"/>
      <c r="B600" s="348" t="s">
        <v>377</v>
      </c>
      <c r="C600" s="189" t="s">
        <v>309</v>
      </c>
      <c r="D600" s="214"/>
      <c r="E600" s="203">
        <v>60</v>
      </c>
      <c r="F600" s="257">
        <v>381.12254309352596</v>
      </c>
      <c r="G600" s="206">
        <v>22867.352585611559</v>
      </c>
      <c r="H600" s="189"/>
      <c r="I600" s="214"/>
      <c r="J600" s="203">
        <v>60</v>
      </c>
      <c r="K600" s="257">
        <v>381.12254309352596</v>
      </c>
      <c r="L600" s="206">
        <v>22867.352585611559</v>
      </c>
      <c r="M600" s="207"/>
      <c r="N600" s="214"/>
      <c r="O600" s="225"/>
      <c r="P600" s="206"/>
      <c r="Q600" s="206"/>
      <c r="R600" s="194"/>
      <c r="S600" s="214"/>
      <c r="T600" s="225"/>
      <c r="U600" s="206"/>
      <c r="V600" s="206"/>
      <c r="W600" s="194"/>
      <c r="X600" s="202"/>
      <c r="Y600" s="203"/>
      <c r="Z600" s="206"/>
      <c r="AA600" s="206"/>
      <c r="AB600" s="189"/>
      <c r="AC600" s="195"/>
      <c r="AD600" s="214"/>
      <c r="AE600" s="203"/>
      <c r="AF600" s="257"/>
      <c r="AG600" s="206">
        <v>10343.668</v>
      </c>
      <c r="AH600" s="209"/>
      <c r="AI600" s="214"/>
      <c r="AJ600" s="225"/>
      <c r="AK600" s="206"/>
      <c r="AL600" s="206"/>
      <c r="AM600" s="196"/>
      <c r="AN600" s="214"/>
      <c r="AO600" s="225"/>
      <c r="AP600" s="206"/>
      <c r="AQ600" s="206"/>
      <c r="AR600" s="196"/>
      <c r="AS600" s="202"/>
      <c r="AT600" s="203"/>
      <c r="AU600" s="206"/>
      <c r="AV600" s="206"/>
      <c r="AW600" s="194"/>
      <c r="AX600" s="214"/>
      <c r="AY600" s="203"/>
      <c r="AZ600" s="257"/>
      <c r="BA600" s="204">
        <f t="shared" si="21"/>
        <v>10343.668</v>
      </c>
      <c r="BB600" s="9"/>
    </row>
    <row r="601" spans="1:54" x14ac:dyDescent="0.35">
      <c r="A601" s="54"/>
      <c r="B601" s="348" t="s">
        <v>378</v>
      </c>
      <c r="C601" s="189" t="s">
        <v>309</v>
      </c>
      <c r="D601" s="214"/>
      <c r="E601" s="203">
        <v>60</v>
      </c>
      <c r="F601" s="257">
        <v>304.89803447482075</v>
      </c>
      <c r="G601" s="206">
        <v>18293.882068489245</v>
      </c>
      <c r="H601" s="189"/>
      <c r="I601" s="214"/>
      <c r="J601" s="203">
        <v>60</v>
      </c>
      <c r="K601" s="257">
        <v>304.89803447482075</v>
      </c>
      <c r="L601" s="206">
        <v>18293.882068489245</v>
      </c>
      <c r="M601" s="207"/>
      <c r="N601" s="214"/>
      <c r="O601" s="225"/>
      <c r="P601" s="206"/>
      <c r="Q601" s="206"/>
      <c r="R601" s="194"/>
      <c r="S601" s="214"/>
      <c r="T601" s="225"/>
      <c r="U601" s="206"/>
      <c r="V601" s="206"/>
      <c r="W601" s="194"/>
      <c r="X601" s="202"/>
      <c r="Y601" s="203"/>
      <c r="Z601" s="206"/>
      <c r="AA601" s="206"/>
      <c r="AB601" s="189"/>
      <c r="AC601" s="195"/>
      <c r="AD601" s="214"/>
      <c r="AE601" s="203"/>
      <c r="AF601" s="257"/>
      <c r="AG601" s="206">
        <v>19988.063999999995</v>
      </c>
      <c r="AH601" s="209"/>
      <c r="AI601" s="214"/>
      <c r="AJ601" s="225"/>
      <c r="AK601" s="206"/>
      <c r="AL601" s="206"/>
      <c r="AM601" s="196"/>
      <c r="AN601" s="214"/>
      <c r="AO601" s="225"/>
      <c r="AP601" s="206"/>
      <c r="AQ601" s="206"/>
      <c r="AR601" s="196"/>
      <c r="AS601" s="202"/>
      <c r="AT601" s="203"/>
      <c r="AU601" s="206"/>
      <c r="AV601" s="206"/>
      <c r="AW601" s="194"/>
      <c r="AX601" s="214"/>
      <c r="AY601" s="203"/>
      <c r="AZ601" s="257"/>
      <c r="BA601" s="204">
        <f t="shared" si="21"/>
        <v>19988.063999999995</v>
      </c>
      <c r="BB601" s="9"/>
    </row>
    <row r="602" spans="1:54" x14ac:dyDescent="0.35">
      <c r="A602" s="54"/>
      <c r="B602" s="348" t="s">
        <v>379</v>
      </c>
      <c r="C602" s="189" t="s">
        <v>309</v>
      </c>
      <c r="D602" s="214"/>
      <c r="E602" s="203">
        <v>60</v>
      </c>
      <c r="F602" s="257"/>
      <c r="G602" s="206">
        <v>0</v>
      </c>
      <c r="H602" s="189"/>
      <c r="I602" s="214"/>
      <c r="J602" s="203">
        <v>60</v>
      </c>
      <c r="K602" s="257"/>
      <c r="L602" s="206">
        <v>0</v>
      </c>
      <c r="M602" s="207"/>
      <c r="N602" s="214"/>
      <c r="O602" s="225"/>
      <c r="P602" s="206"/>
      <c r="Q602" s="206"/>
      <c r="R602" s="194"/>
      <c r="S602" s="214"/>
      <c r="T602" s="225"/>
      <c r="U602" s="206"/>
      <c r="V602" s="206"/>
      <c r="W602" s="194"/>
      <c r="X602" s="202"/>
      <c r="Y602" s="203"/>
      <c r="Z602" s="206"/>
      <c r="AA602" s="206"/>
      <c r="AB602" s="189"/>
      <c r="AC602" s="195"/>
      <c r="AD602" s="214"/>
      <c r="AE602" s="203"/>
      <c r="AF602" s="257"/>
      <c r="AG602" s="206">
        <v>0</v>
      </c>
      <c r="AH602" s="209"/>
      <c r="AI602" s="214"/>
      <c r="AJ602" s="225"/>
      <c r="AK602" s="206"/>
      <c r="AL602" s="206"/>
      <c r="AM602" s="196"/>
      <c r="AN602" s="214"/>
      <c r="AO602" s="225"/>
      <c r="AP602" s="206"/>
      <c r="AQ602" s="206"/>
      <c r="AR602" s="196"/>
      <c r="AS602" s="202"/>
      <c r="AT602" s="203"/>
      <c r="AU602" s="206"/>
      <c r="AV602" s="206"/>
      <c r="AW602" s="194"/>
      <c r="AX602" s="214"/>
      <c r="AY602" s="203"/>
      <c r="AZ602" s="257"/>
      <c r="BA602" s="204">
        <f t="shared" si="21"/>
        <v>0</v>
      </c>
      <c r="BB602" s="9"/>
    </row>
    <row r="603" spans="1:54" ht="29" x14ac:dyDescent="0.35">
      <c r="A603" s="54"/>
      <c r="B603" s="348" t="s">
        <v>380</v>
      </c>
      <c r="C603" s="189" t="s">
        <v>309</v>
      </c>
      <c r="D603" s="214"/>
      <c r="E603" s="203">
        <v>60</v>
      </c>
      <c r="F603" s="257">
        <v>152.44901723741037</v>
      </c>
      <c r="G603" s="206">
        <v>9146.9410342446226</v>
      </c>
      <c r="H603" s="189"/>
      <c r="I603" s="214"/>
      <c r="J603" s="203">
        <v>60</v>
      </c>
      <c r="K603" s="257">
        <v>152.44901723741037</v>
      </c>
      <c r="L603" s="206">
        <v>9146.9410342446226</v>
      </c>
      <c r="M603" s="207"/>
      <c r="N603" s="214"/>
      <c r="O603" s="225"/>
      <c r="P603" s="206"/>
      <c r="Q603" s="206"/>
      <c r="R603" s="194"/>
      <c r="S603" s="214"/>
      <c r="T603" s="225"/>
      <c r="U603" s="206"/>
      <c r="V603" s="206"/>
      <c r="W603" s="194"/>
      <c r="X603" s="202"/>
      <c r="Y603" s="203"/>
      <c r="Z603" s="206"/>
      <c r="AA603" s="206"/>
      <c r="AB603" s="189"/>
      <c r="AC603" s="195"/>
      <c r="AD603" s="214"/>
      <c r="AE603" s="203"/>
      <c r="AF603" s="257"/>
      <c r="AG603" s="206">
        <v>0</v>
      </c>
      <c r="AH603" s="209"/>
      <c r="AI603" s="214"/>
      <c r="AJ603" s="225"/>
      <c r="AK603" s="206"/>
      <c r="AL603" s="206"/>
      <c r="AM603" s="196"/>
      <c r="AN603" s="214"/>
      <c r="AO603" s="225"/>
      <c r="AP603" s="206"/>
      <c r="AQ603" s="206"/>
      <c r="AR603" s="196"/>
      <c r="AS603" s="202"/>
      <c r="AT603" s="203"/>
      <c r="AU603" s="206"/>
      <c r="AV603" s="206"/>
      <c r="AW603" s="194"/>
      <c r="AX603" s="214"/>
      <c r="AY603" s="203"/>
      <c r="AZ603" s="257"/>
      <c r="BA603" s="204">
        <f t="shared" si="21"/>
        <v>0</v>
      </c>
      <c r="BB603" s="9"/>
    </row>
    <row r="604" spans="1:54" x14ac:dyDescent="0.35">
      <c r="A604" s="54"/>
      <c r="B604" s="348" t="s">
        <v>381</v>
      </c>
      <c r="C604" s="189" t="s">
        <v>309</v>
      </c>
      <c r="D604" s="214"/>
      <c r="E604" s="203">
        <v>60</v>
      </c>
      <c r="F604" s="257">
        <v>152.44901723741037</v>
      </c>
      <c r="G604" s="206">
        <v>9146.9410342446226</v>
      </c>
      <c r="H604" s="189"/>
      <c r="I604" s="214"/>
      <c r="J604" s="203">
        <v>60</v>
      </c>
      <c r="K604" s="257">
        <v>152.44901723741037</v>
      </c>
      <c r="L604" s="206">
        <v>9146.9410342446226</v>
      </c>
      <c r="M604" s="207"/>
      <c r="N604" s="214"/>
      <c r="O604" s="225"/>
      <c r="P604" s="206"/>
      <c r="Q604" s="206"/>
      <c r="R604" s="194"/>
      <c r="S604" s="214"/>
      <c r="T604" s="225"/>
      <c r="U604" s="206"/>
      <c r="V604" s="206"/>
      <c r="W604" s="194"/>
      <c r="X604" s="202"/>
      <c r="Y604" s="203"/>
      <c r="Z604" s="206"/>
      <c r="AA604" s="206"/>
      <c r="AB604" s="189"/>
      <c r="AC604" s="195"/>
      <c r="AD604" s="214"/>
      <c r="AE604" s="203"/>
      <c r="AF604" s="257"/>
      <c r="AG604" s="206">
        <v>31957.736999999997</v>
      </c>
      <c r="AH604" s="209"/>
      <c r="AI604" s="214"/>
      <c r="AJ604" s="225"/>
      <c r="AK604" s="206"/>
      <c r="AL604" s="206"/>
      <c r="AM604" s="196"/>
      <c r="AN604" s="214"/>
      <c r="AO604" s="225"/>
      <c r="AP604" s="206"/>
      <c r="AQ604" s="206"/>
      <c r="AR604" s="196"/>
      <c r="AS604" s="202"/>
      <c r="AT604" s="203"/>
      <c r="AU604" s="206"/>
      <c r="AV604" s="206"/>
      <c r="AW604" s="194"/>
      <c r="AX604" s="214"/>
      <c r="AY604" s="203"/>
      <c r="AZ604" s="257"/>
      <c r="BA604" s="204">
        <f t="shared" si="21"/>
        <v>31957.736999999997</v>
      </c>
      <c r="BB604" s="9"/>
    </row>
    <row r="605" spans="1:54" ht="29" x14ac:dyDescent="0.35">
      <c r="A605" s="54"/>
      <c r="B605" s="348" t="s">
        <v>382</v>
      </c>
      <c r="C605" s="189" t="s">
        <v>309</v>
      </c>
      <c r="D605" s="214"/>
      <c r="E605" s="203">
        <v>60</v>
      </c>
      <c r="F605" s="257"/>
      <c r="G605" s="206">
        <v>0</v>
      </c>
      <c r="H605" s="189"/>
      <c r="I605" s="214"/>
      <c r="J605" s="203">
        <v>60</v>
      </c>
      <c r="K605" s="257"/>
      <c r="L605" s="206">
        <v>0</v>
      </c>
      <c r="M605" s="207"/>
      <c r="N605" s="214"/>
      <c r="O605" s="225"/>
      <c r="P605" s="206"/>
      <c r="Q605" s="206"/>
      <c r="R605" s="194"/>
      <c r="S605" s="214"/>
      <c r="T605" s="225"/>
      <c r="U605" s="206"/>
      <c r="V605" s="206"/>
      <c r="W605" s="194"/>
      <c r="X605" s="202"/>
      <c r="Y605" s="203"/>
      <c r="Z605" s="206"/>
      <c r="AA605" s="206"/>
      <c r="AB605" s="189"/>
      <c r="AC605" s="195"/>
      <c r="AD605" s="214"/>
      <c r="AE605" s="203"/>
      <c r="AF605" s="257"/>
      <c r="AG605" s="206">
        <v>0</v>
      </c>
      <c r="AH605" s="209"/>
      <c r="AI605" s="214"/>
      <c r="AJ605" s="225"/>
      <c r="AK605" s="206"/>
      <c r="AL605" s="206"/>
      <c r="AM605" s="196"/>
      <c r="AN605" s="214"/>
      <c r="AO605" s="225"/>
      <c r="AP605" s="206"/>
      <c r="AQ605" s="206"/>
      <c r="AR605" s="196"/>
      <c r="AS605" s="202"/>
      <c r="AT605" s="203"/>
      <c r="AU605" s="206"/>
      <c r="AV605" s="206"/>
      <c r="AW605" s="194"/>
      <c r="AX605" s="214"/>
      <c r="AY605" s="203"/>
      <c r="AZ605" s="257"/>
      <c r="BA605" s="204">
        <f t="shared" si="21"/>
        <v>0</v>
      </c>
      <c r="BB605" s="9"/>
    </row>
    <row r="606" spans="1:54" ht="29" x14ac:dyDescent="0.35">
      <c r="A606" s="54"/>
      <c r="B606" s="348" t="s">
        <v>383</v>
      </c>
      <c r="C606" s="189" t="s">
        <v>309</v>
      </c>
      <c r="D606" s="214"/>
      <c r="E606" s="203">
        <v>60</v>
      </c>
      <c r="F606" s="257"/>
      <c r="G606" s="206">
        <v>0</v>
      </c>
      <c r="H606" s="189"/>
      <c r="I606" s="214"/>
      <c r="J606" s="203">
        <v>60</v>
      </c>
      <c r="K606" s="257"/>
      <c r="L606" s="206">
        <v>0</v>
      </c>
      <c r="M606" s="207"/>
      <c r="N606" s="214"/>
      <c r="O606" s="225"/>
      <c r="P606" s="206"/>
      <c r="Q606" s="206"/>
      <c r="R606" s="194"/>
      <c r="S606" s="214"/>
      <c r="T606" s="225"/>
      <c r="U606" s="206"/>
      <c r="V606" s="206"/>
      <c r="W606" s="194"/>
      <c r="X606" s="202"/>
      <c r="Y606" s="203"/>
      <c r="Z606" s="206"/>
      <c r="AA606" s="206"/>
      <c r="AB606" s="189"/>
      <c r="AC606" s="195"/>
      <c r="AD606" s="214"/>
      <c r="AE606" s="203"/>
      <c r="AF606" s="257"/>
      <c r="AG606" s="206">
        <v>0</v>
      </c>
      <c r="AH606" s="209"/>
      <c r="AI606" s="214"/>
      <c r="AJ606" s="225"/>
      <c r="AK606" s="206"/>
      <c r="AL606" s="206"/>
      <c r="AM606" s="196"/>
      <c r="AN606" s="214"/>
      <c r="AO606" s="225"/>
      <c r="AP606" s="206"/>
      <c r="AQ606" s="206"/>
      <c r="AR606" s="196"/>
      <c r="AS606" s="202"/>
      <c r="AT606" s="203"/>
      <c r="AU606" s="206"/>
      <c r="AV606" s="206"/>
      <c r="AW606" s="194"/>
      <c r="AX606" s="214"/>
      <c r="AY606" s="203"/>
      <c r="AZ606" s="257"/>
      <c r="BA606" s="204">
        <f t="shared" si="21"/>
        <v>0</v>
      </c>
      <c r="BB606" s="9"/>
    </row>
    <row r="607" spans="1:54" x14ac:dyDescent="0.35">
      <c r="A607" s="54"/>
      <c r="B607" s="348" t="s">
        <v>384</v>
      </c>
      <c r="C607" s="189" t="s">
        <v>309</v>
      </c>
      <c r="D607" s="214"/>
      <c r="E607" s="203">
        <v>60</v>
      </c>
      <c r="F607" s="257">
        <v>217.24</v>
      </c>
      <c r="G607" s="206">
        <v>13034.400000000001</v>
      </c>
      <c r="H607" s="189"/>
      <c r="I607" s="214"/>
      <c r="J607" s="203">
        <v>60</v>
      </c>
      <c r="K607" s="257">
        <v>217.24</v>
      </c>
      <c r="L607" s="206">
        <v>13034.400000000001</v>
      </c>
      <c r="M607" s="207"/>
      <c r="N607" s="214"/>
      <c r="O607" s="225"/>
      <c r="P607" s="206"/>
      <c r="Q607" s="206"/>
      <c r="R607" s="194"/>
      <c r="S607" s="214"/>
      <c r="T607" s="225"/>
      <c r="U607" s="206"/>
      <c r="V607" s="206"/>
      <c r="W607" s="194"/>
      <c r="X607" s="202"/>
      <c r="Y607" s="203"/>
      <c r="Z607" s="206"/>
      <c r="AA607" s="206"/>
      <c r="AB607" s="189"/>
      <c r="AC607" s="195"/>
      <c r="AD607" s="214"/>
      <c r="AE607" s="203"/>
      <c r="AF607" s="257"/>
      <c r="AG607" s="206">
        <v>10378.265000000001</v>
      </c>
      <c r="AH607" s="209"/>
      <c r="AI607" s="214"/>
      <c r="AJ607" s="225"/>
      <c r="AK607" s="206"/>
      <c r="AL607" s="206"/>
      <c r="AM607" s="196"/>
      <c r="AN607" s="214"/>
      <c r="AO607" s="225"/>
      <c r="AP607" s="206"/>
      <c r="AQ607" s="206"/>
      <c r="AR607" s="196"/>
      <c r="AS607" s="202"/>
      <c r="AT607" s="203"/>
      <c r="AU607" s="206"/>
      <c r="AV607" s="206"/>
      <c r="AW607" s="194"/>
      <c r="AX607" s="214"/>
      <c r="AY607" s="203"/>
      <c r="AZ607" s="257"/>
      <c r="BA607" s="204">
        <f t="shared" si="21"/>
        <v>10378.265000000001</v>
      </c>
      <c r="BB607" s="9"/>
    </row>
    <row r="608" spans="1:54" ht="29" x14ac:dyDescent="0.35">
      <c r="A608" s="54"/>
      <c r="B608" s="348" t="s">
        <v>385</v>
      </c>
      <c r="C608" s="189" t="s">
        <v>309</v>
      </c>
      <c r="D608" s="214"/>
      <c r="E608" s="203">
        <v>60</v>
      </c>
      <c r="F608" s="257">
        <v>228.67352585611556</v>
      </c>
      <c r="G608" s="206">
        <v>13720.411551366933</v>
      </c>
      <c r="H608" s="189"/>
      <c r="I608" s="214"/>
      <c r="J608" s="203">
        <v>60</v>
      </c>
      <c r="K608" s="257">
        <v>228.67352585611556</v>
      </c>
      <c r="L608" s="206">
        <v>13720.411551366933</v>
      </c>
      <c r="M608" s="207"/>
      <c r="N608" s="214"/>
      <c r="O608" s="225"/>
      <c r="P608" s="206"/>
      <c r="Q608" s="206"/>
      <c r="R608" s="194"/>
      <c r="S608" s="214"/>
      <c r="T608" s="225"/>
      <c r="U608" s="206"/>
      <c r="V608" s="206"/>
      <c r="W608" s="194"/>
      <c r="X608" s="202"/>
      <c r="Y608" s="203"/>
      <c r="Z608" s="206"/>
      <c r="AA608" s="206"/>
      <c r="AB608" s="189"/>
      <c r="AC608" s="195"/>
      <c r="AD608" s="214"/>
      <c r="AE608" s="203"/>
      <c r="AF608" s="257"/>
      <c r="AG608" s="206">
        <v>20578.730000000003</v>
      </c>
      <c r="AH608" s="209"/>
      <c r="AI608" s="214"/>
      <c r="AJ608" s="225"/>
      <c r="AK608" s="206"/>
      <c r="AL608" s="206"/>
      <c r="AM608" s="196"/>
      <c r="AN608" s="214"/>
      <c r="AO608" s="225"/>
      <c r="AP608" s="206"/>
      <c r="AQ608" s="206"/>
      <c r="AR608" s="196"/>
      <c r="AS608" s="202"/>
      <c r="AT608" s="203"/>
      <c r="AU608" s="206"/>
      <c r="AV608" s="206"/>
      <c r="AW608" s="194"/>
      <c r="AX608" s="214"/>
      <c r="AY608" s="203"/>
      <c r="AZ608" s="257"/>
      <c r="BA608" s="204">
        <f t="shared" si="21"/>
        <v>20578.730000000003</v>
      </c>
      <c r="BB608" s="9"/>
    </row>
    <row r="609" spans="1:54" x14ac:dyDescent="0.35">
      <c r="A609" s="259"/>
      <c r="B609" s="260" t="s">
        <v>386</v>
      </c>
      <c r="C609" s="261"/>
      <c r="D609" s="262"/>
      <c r="E609" s="263"/>
      <c r="F609" s="264"/>
      <c r="G609" s="265">
        <f>SUM(G506:G548)+SUM(G551,G558,G566,G573,G579,G585,G592,G593,G594,G595,G596,G597,G598,G599,G600,G601,G602,G603,G604,G605,G606,G607,G608)</f>
        <v>458339.30968015565</v>
      </c>
      <c r="H609" s="261"/>
      <c r="I609" s="262"/>
      <c r="J609" s="263"/>
      <c r="K609" s="264"/>
      <c r="L609" s="265">
        <f>SUM(L506:L548)+SUM(L551,L558,L566,L573,L579,L585,L592,L593,L594,L595,L596,L597,L598,L599,L600,L601,L602,L603,L604,L605,L606,L607,L608)</f>
        <v>295202.75005707907</v>
      </c>
      <c r="M609" s="30"/>
      <c r="N609" s="262"/>
      <c r="O609" s="263"/>
      <c r="P609" s="264"/>
      <c r="Q609" s="265">
        <f>SUM(Q506:Q548)+SUM(Q551,Q558,Q566,Q573,Q579,Q585,Q592,Q593,Q594,Q595,Q596,Q597,Q598,Q599,Q600,Q601,Q602,Q603,Q604,Q605,Q606,Q607,Q608)</f>
        <v>68812.581730132923</v>
      </c>
      <c r="R609" s="30"/>
      <c r="S609" s="262"/>
      <c r="T609" s="263"/>
      <c r="U609" s="264"/>
      <c r="V609" s="265">
        <f>SUM(V506:V548)+SUM(V551,V558,V566,V573,V579,V585,V592,V593,V594,V595,V596,V597,V598,V599,V600,V601,V602,V603,V604,V605,V606,V607,V608)</f>
        <v>58036.063541550415</v>
      </c>
      <c r="W609" s="30"/>
      <c r="X609" s="262"/>
      <c r="Y609" s="263"/>
      <c r="Z609" s="264"/>
      <c r="AA609" s="265">
        <f>SUM(AA506:AA548)+SUM(AA551,AA558,AA566,AA573,AA579,AA585,AA592,AA593,AA594,AA595,AA596,AA597,AA598,AA599,AA600,AA601,AA602,AA603,AA604,AA605,AA606,AA607,AA608)</f>
        <v>36287.914351393236</v>
      </c>
      <c r="AB609" s="261"/>
      <c r="AC609" s="266"/>
      <c r="AD609" s="262"/>
      <c r="AE609" s="263"/>
      <c r="AF609" s="264"/>
      <c r="AG609" s="265">
        <f>SUM(AG506:AG548)+SUM(AG551,AG558,AG566,AG573,AG579,AG585,AG592,AG593,AG594,AG595,AG596,AG597,AG598,AG599,AG600,AG601,AG602,AG603,AG604,AG605,AG606,AG607,AG608)</f>
        <v>226123.03298691395</v>
      </c>
      <c r="AH609" s="32"/>
      <c r="AI609" s="262"/>
      <c r="AJ609" s="263"/>
      <c r="AK609" s="264"/>
      <c r="AL609" s="265">
        <f>SUM(AL506:AL608)</f>
        <v>0</v>
      </c>
      <c r="AM609" s="32"/>
      <c r="AN609" s="262"/>
      <c r="AO609" s="263"/>
      <c r="AP609" s="264"/>
      <c r="AQ609" s="265">
        <f>SUM(AQ506:AQ608)</f>
        <v>0</v>
      </c>
      <c r="AR609" s="32"/>
      <c r="AS609" s="262"/>
      <c r="AT609" s="263"/>
      <c r="AU609" s="264"/>
      <c r="AV609" s="265">
        <f>SUM(AV506:AV608)</f>
        <v>0</v>
      </c>
      <c r="AW609" s="30"/>
      <c r="AX609" s="262"/>
      <c r="AY609" s="263"/>
      <c r="AZ609" s="264"/>
      <c r="BA609" s="265">
        <f>SUM(BA506:BA548)+SUM(BA551,BA558,BA566,BA573,BA579,BA585,BA592,BA593,BA594,BA595,BA596,BA597,BA598,BA599,BA600,BA601,BA602,BA603,BA604,BA605,BA606,BA607,BA608)</f>
        <v>226123.03298691395</v>
      </c>
      <c r="BB609" s="9"/>
    </row>
    <row r="610" spans="1:54" x14ac:dyDescent="0.35">
      <c r="A610" s="54"/>
      <c r="B610" s="349"/>
      <c r="C610" s="216"/>
      <c r="D610" s="43"/>
      <c r="E610" s="270"/>
      <c r="F610" s="350"/>
      <c r="G610" s="56"/>
      <c r="H610" s="216"/>
      <c r="I610" s="43"/>
      <c r="J610" s="270"/>
      <c r="K610" s="350"/>
      <c r="L610" s="56"/>
      <c r="M610" s="30"/>
      <c r="N610" s="43"/>
      <c r="O610" s="270"/>
      <c r="P610" s="350"/>
      <c r="Q610" s="56"/>
      <c r="R610" s="30"/>
      <c r="S610" s="43"/>
      <c r="T610" s="270"/>
      <c r="U610" s="350"/>
      <c r="V610" s="56"/>
      <c r="W610" s="30"/>
      <c r="X610" s="43"/>
      <c r="Y610" s="270"/>
      <c r="Z610" s="350"/>
      <c r="AA610" s="56"/>
      <c r="AB610" s="216"/>
      <c r="AC610" s="218"/>
      <c r="AD610" s="43"/>
      <c r="AE610" s="270"/>
      <c r="AF610" s="350"/>
      <c r="AG610" s="56"/>
      <c r="AH610" s="32"/>
      <c r="AI610" s="43"/>
      <c r="AJ610" s="270"/>
      <c r="AK610" s="350"/>
      <c r="AL610" s="56"/>
      <c r="AM610" s="32"/>
      <c r="AN610" s="43"/>
      <c r="AO610" s="270"/>
      <c r="AP610" s="350"/>
      <c r="AQ610" s="56"/>
      <c r="AR610" s="32"/>
      <c r="AS610" s="43"/>
      <c r="AT610" s="270"/>
      <c r="AU610" s="350"/>
      <c r="AV610" s="56"/>
      <c r="AW610" s="30"/>
      <c r="AX610" s="43"/>
      <c r="AY610" s="270"/>
      <c r="AZ610" s="350"/>
      <c r="BA610" s="56"/>
      <c r="BB610" s="9"/>
    </row>
    <row r="611" spans="1:54" ht="28.5" customHeight="1" x14ac:dyDescent="0.35">
      <c r="A611" s="57" t="s">
        <v>387</v>
      </c>
      <c r="B611" s="58" t="s">
        <v>388</v>
      </c>
      <c r="C611" s="59"/>
      <c r="D611" s="60"/>
      <c r="E611" s="61"/>
      <c r="F611" s="62"/>
      <c r="G611" s="62"/>
      <c r="H611" s="59"/>
      <c r="I611" s="60"/>
      <c r="J611" s="61"/>
      <c r="K611" s="62"/>
      <c r="L611" s="62"/>
      <c r="M611" s="30"/>
      <c r="N611" s="60"/>
      <c r="O611" s="61"/>
      <c r="P611" s="62"/>
      <c r="Q611" s="62"/>
      <c r="R611" s="30"/>
      <c r="S611" s="60"/>
      <c r="T611" s="61"/>
      <c r="U611" s="62"/>
      <c r="V611" s="62"/>
      <c r="W611" s="30"/>
      <c r="X611" s="60"/>
      <c r="Y611" s="61"/>
      <c r="Z611" s="62"/>
      <c r="AA611" s="62"/>
      <c r="AB611" s="59"/>
      <c r="AC611" s="63"/>
      <c r="AD611" s="60"/>
      <c r="AE611" s="61"/>
      <c r="AF611" s="62"/>
      <c r="AG611" s="62"/>
      <c r="AH611" s="32"/>
      <c r="AI611" s="60"/>
      <c r="AJ611" s="61"/>
      <c r="AK611" s="62"/>
      <c r="AL611" s="62"/>
      <c r="AM611" s="32"/>
      <c r="AN611" s="60"/>
      <c r="AO611" s="61"/>
      <c r="AP611" s="62"/>
      <c r="AQ611" s="62"/>
      <c r="AR611" s="32"/>
      <c r="AS611" s="60"/>
      <c r="AT611" s="61"/>
      <c r="AU611" s="62"/>
      <c r="AV611" s="62"/>
      <c r="AW611" s="30"/>
      <c r="AX611" s="60"/>
      <c r="AY611" s="61"/>
      <c r="AZ611" s="62"/>
      <c r="BA611" s="62"/>
      <c r="BB611" s="9"/>
    </row>
    <row r="612" spans="1:54" ht="17.25" customHeight="1" x14ac:dyDescent="0.35">
      <c r="A612" s="54"/>
      <c r="B612" s="55"/>
      <c r="C612" s="42"/>
      <c r="D612" s="43"/>
      <c r="E612" s="44"/>
      <c r="F612" s="89"/>
      <c r="G612" s="89"/>
      <c r="H612" s="42"/>
      <c r="I612" s="43"/>
      <c r="J612" s="44"/>
      <c r="K612" s="89"/>
      <c r="L612" s="89"/>
      <c r="M612" s="30"/>
      <c r="N612" s="43"/>
      <c r="O612" s="44"/>
      <c r="P612" s="89"/>
      <c r="Q612" s="89"/>
      <c r="R612" s="30"/>
      <c r="S612" s="43"/>
      <c r="T612" s="44"/>
      <c r="U612" s="89"/>
      <c r="V612" s="89"/>
      <c r="W612" s="30"/>
      <c r="X612" s="43"/>
      <c r="Y612" s="44"/>
      <c r="Z612" s="89"/>
      <c r="AA612" s="89"/>
      <c r="AB612" s="42"/>
      <c r="AC612" s="46"/>
      <c r="AD612" s="43"/>
      <c r="AE612" s="44"/>
      <c r="AF612" s="89"/>
      <c r="AG612" s="89"/>
      <c r="AH612" s="32"/>
      <c r="AI612" s="43"/>
      <c r="AJ612" s="44"/>
      <c r="AK612" s="89"/>
      <c r="AL612" s="89"/>
      <c r="AM612" s="32"/>
      <c r="AN612" s="43"/>
      <c r="AO612" s="44"/>
      <c r="AP612" s="89"/>
      <c r="AQ612" s="89"/>
      <c r="AR612" s="32"/>
      <c r="AS612" s="43"/>
      <c r="AT612" s="44"/>
      <c r="AU612" s="89"/>
      <c r="AV612" s="89"/>
      <c r="AW612" s="30"/>
      <c r="AX612" s="43"/>
      <c r="AY612" s="44"/>
      <c r="AZ612" s="89"/>
      <c r="BA612" s="89"/>
      <c r="BB612" s="9"/>
    </row>
    <row r="613" spans="1:54" ht="17.25" customHeight="1" x14ac:dyDescent="0.35">
      <c r="A613" s="54"/>
      <c r="B613" s="55" t="s">
        <v>155</v>
      </c>
      <c r="C613" s="74"/>
      <c r="D613" s="75"/>
      <c r="E613" s="44"/>
      <c r="F613" s="80"/>
      <c r="G613" s="45"/>
      <c r="H613" s="74"/>
      <c r="I613" s="75"/>
      <c r="J613" s="44"/>
      <c r="K613" s="80"/>
      <c r="L613" s="45"/>
      <c r="M613" s="30"/>
      <c r="N613" s="75"/>
      <c r="O613" s="44"/>
      <c r="P613" s="80"/>
      <c r="Q613" s="45"/>
      <c r="R613" s="30"/>
      <c r="S613" s="75"/>
      <c r="T613" s="44"/>
      <c r="U613" s="80"/>
      <c r="V613" s="45"/>
      <c r="W613" s="30"/>
      <c r="X613" s="75"/>
      <c r="Y613" s="44"/>
      <c r="Z613" s="80"/>
      <c r="AA613" s="45"/>
      <c r="AB613" s="74"/>
      <c r="AC613" s="46"/>
      <c r="AD613" s="75"/>
      <c r="AE613" s="44"/>
      <c r="AF613" s="80"/>
      <c r="AG613" s="45"/>
      <c r="AH613" s="32"/>
      <c r="AI613" s="75"/>
      <c r="AJ613" s="44"/>
      <c r="AK613" s="80"/>
      <c r="AL613" s="45"/>
      <c r="AM613" s="32"/>
      <c r="AN613" s="75"/>
      <c r="AO613" s="44"/>
      <c r="AP613" s="80"/>
      <c r="AQ613" s="45"/>
      <c r="AR613" s="32"/>
      <c r="AS613" s="75"/>
      <c r="AT613" s="44"/>
      <c r="AU613" s="80"/>
      <c r="AV613" s="45"/>
      <c r="AW613" s="30"/>
      <c r="AX613" s="75"/>
      <c r="AY613" s="44"/>
      <c r="AZ613" s="80"/>
      <c r="BA613" s="45"/>
      <c r="BB613" s="9"/>
    </row>
    <row r="614" spans="1:54" ht="17.25" customHeight="1" x14ac:dyDescent="0.35">
      <c r="A614" s="54"/>
      <c r="B614" s="86" t="s">
        <v>156</v>
      </c>
      <c r="C614" s="74" t="s">
        <v>27</v>
      </c>
      <c r="D614" s="75" t="s">
        <v>28</v>
      </c>
      <c r="E614" s="44">
        <v>3.2594824641367017</v>
      </c>
      <c r="F614" s="80">
        <v>2320</v>
      </c>
      <c r="G614" s="77">
        <v>7561.9993167971479</v>
      </c>
      <c r="H614" s="74"/>
      <c r="I614" s="75" t="s">
        <v>28</v>
      </c>
      <c r="J614" s="44">
        <v>0.1157912962840862</v>
      </c>
      <c r="K614" s="80">
        <v>2320</v>
      </c>
      <c r="L614" s="77">
        <v>268.63580737908001</v>
      </c>
      <c r="M614" s="30"/>
      <c r="N614" s="75" t="s">
        <v>28</v>
      </c>
      <c r="O614" s="44">
        <v>0.65804243466521428</v>
      </c>
      <c r="P614" s="80">
        <v>2320</v>
      </c>
      <c r="Q614" s="77">
        <v>1526.6584484232972</v>
      </c>
      <c r="R614" s="30"/>
      <c r="S614" s="75" t="s">
        <v>28</v>
      </c>
      <c r="T614" s="44">
        <v>0.87491351309393084</v>
      </c>
      <c r="U614" s="80">
        <v>2320</v>
      </c>
      <c r="V614" s="77">
        <v>2029.7993503779196</v>
      </c>
      <c r="W614" s="30"/>
      <c r="X614" s="75" t="s">
        <v>28</v>
      </c>
      <c r="Y614" s="44">
        <v>1.6107352200934704</v>
      </c>
      <c r="Z614" s="80">
        <v>2320</v>
      </c>
      <c r="AA614" s="77">
        <v>3736.9057106168511</v>
      </c>
      <c r="AB614" s="74"/>
      <c r="AC614" s="46">
        <f>[1]Calc!$B$42/[1]Calc!$B$47</f>
        <v>2.2538589566257216E-2</v>
      </c>
      <c r="AD614" s="75"/>
      <c r="AE614" s="44"/>
      <c r="AF614" s="80"/>
      <c r="AG614" s="77">
        <f>AC614*24106.352</f>
        <v>543.32317366772372</v>
      </c>
      <c r="AH614" s="32" t="e">
        <f>[1]Calc!$C$42/[1]Calc!$C$47</f>
        <v>#DIV/0!</v>
      </c>
      <c r="AI614" s="75"/>
      <c r="AJ614" s="44"/>
      <c r="AK614" s="80"/>
      <c r="AL614" s="77"/>
      <c r="AM614" s="32" t="e">
        <f>[1]Calc!$D$42/[1]Calc!$D$47</f>
        <v>#DIV/0!</v>
      </c>
      <c r="AN614" s="75"/>
      <c r="AO614" s="44"/>
      <c r="AP614" s="80"/>
      <c r="AQ614" s="77"/>
      <c r="AR614" s="32" t="e">
        <f>[1]Calc!$E$42/[1]Calc!$E$47</f>
        <v>#DIV/0!</v>
      </c>
      <c r="AS614" s="75"/>
      <c r="AT614" s="44"/>
      <c r="AU614" s="80"/>
      <c r="AV614" s="77"/>
      <c r="AW614" s="30"/>
      <c r="AX614" s="75"/>
      <c r="AY614" s="44"/>
      <c r="AZ614" s="80"/>
      <c r="BA614" s="77">
        <f t="shared" ref="BA614:BA619" si="22">AG614+AL614+AQ614+AV614</f>
        <v>543.32317366772372</v>
      </c>
      <c r="BB614" s="9"/>
    </row>
    <row r="615" spans="1:54" ht="17.25" customHeight="1" x14ac:dyDescent="0.35">
      <c r="A615" s="54"/>
      <c r="B615" s="86" t="s">
        <v>157</v>
      </c>
      <c r="C615" s="74" t="s">
        <v>27</v>
      </c>
      <c r="D615" s="75" t="s">
        <v>28</v>
      </c>
      <c r="E615" s="44">
        <v>9.2599722911026525</v>
      </c>
      <c r="F615" s="80">
        <v>1500</v>
      </c>
      <c r="G615" s="77">
        <v>13889.958436653978</v>
      </c>
      <c r="H615" s="74"/>
      <c r="I615" s="75" t="s">
        <v>28</v>
      </c>
      <c r="J615" s="44">
        <v>0.2315825925681724</v>
      </c>
      <c r="K615" s="80">
        <v>1500</v>
      </c>
      <c r="L615" s="77">
        <v>347.37388885225863</v>
      </c>
      <c r="M615" s="30"/>
      <c r="N615" s="75" t="s">
        <v>28</v>
      </c>
      <c r="O615" s="44">
        <v>1.9741273039956433</v>
      </c>
      <c r="P615" s="80">
        <v>1500</v>
      </c>
      <c r="Q615" s="77">
        <v>2961.1909559934647</v>
      </c>
      <c r="R615" s="30"/>
      <c r="S615" s="75" t="s">
        <v>28</v>
      </c>
      <c r="T615" s="44">
        <v>2.6247405392817926</v>
      </c>
      <c r="U615" s="80">
        <v>1500</v>
      </c>
      <c r="V615" s="77">
        <v>3937.1108089226891</v>
      </c>
      <c r="W615" s="30"/>
      <c r="X615" s="75" t="s">
        <v>28</v>
      </c>
      <c r="Y615" s="44">
        <v>4.4295218552570441</v>
      </c>
      <c r="Z615" s="80">
        <v>1500</v>
      </c>
      <c r="AA615" s="77">
        <v>6644.2827828855661</v>
      </c>
      <c r="AB615" s="74"/>
      <c r="AC615" s="46">
        <f>[1]Calc!$B$42/[1]Calc!$B$47</f>
        <v>2.2538589566257216E-2</v>
      </c>
      <c r="AD615" s="75"/>
      <c r="AE615" s="44"/>
      <c r="AF615" s="80"/>
      <c r="AG615" s="77">
        <f>AC615*21019.326</f>
        <v>473.74596167335903</v>
      </c>
      <c r="AH615" s="32" t="e">
        <f>[1]Calc!$C$42/[1]Calc!$C$47</f>
        <v>#DIV/0!</v>
      </c>
      <c r="AI615" s="75"/>
      <c r="AJ615" s="44"/>
      <c r="AK615" s="80"/>
      <c r="AL615" s="77"/>
      <c r="AM615" s="32" t="e">
        <f>[1]Calc!$D$42/[1]Calc!$D$47</f>
        <v>#DIV/0!</v>
      </c>
      <c r="AN615" s="75"/>
      <c r="AO615" s="44"/>
      <c r="AP615" s="80"/>
      <c r="AQ615" s="77"/>
      <c r="AR615" s="32" t="e">
        <f>[1]Calc!$E$42/[1]Calc!$E$47</f>
        <v>#DIV/0!</v>
      </c>
      <c r="AS615" s="75"/>
      <c r="AT615" s="44"/>
      <c r="AU615" s="80"/>
      <c r="AV615" s="77"/>
      <c r="AW615" s="30"/>
      <c r="AX615" s="75"/>
      <c r="AY615" s="44"/>
      <c r="AZ615" s="80"/>
      <c r="BA615" s="77">
        <f t="shared" si="22"/>
        <v>473.74596167335903</v>
      </c>
      <c r="BB615" s="9"/>
    </row>
    <row r="616" spans="1:54" ht="17.25" customHeight="1" x14ac:dyDescent="0.35">
      <c r="A616" s="54"/>
      <c r="B616" s="86" t="s">
        <v>158</v>
      </c>
      <c r="C616" s="74" t="s">
        <v>27</v>
      </c>
      <c r="D616" s="75" t="s">
        <v>28</v>
      </c>
      <c r="E616" s="44">
        <v>3.2337510649624601</v>
      </c>
      <c r="F616" s="80">
        <v>1920</v>
      </c>
      <c r="G616" s="77">
        <v>6208.8020447279232</v>
      </c>
      <c r="H616" s="74"/>
      <c r="I616" s="75" t="s">
        <v>28</v>
      </c>
      <c r="J616" s="44">
        <v>9.0059897109844828E-2</v>
      </c>
      <c r="K616" s="80">
        <v>1920</v>
      </c>
      <c r="L616" s="77">
        <v>172.91500245090208</v>
      </c>
      <c r="M616" s="30"/>
      <c r="N616" s="75" t="s">
        <v>28</v>
      </c>
      <c r="O616" s="44">
        <v>0.65804243466521428</v>
      </c>
      <c r="P616" s="80">
        <v>1920</v>
      </c>
      <c r="Q616" s="77">
        <v>1263.4414745572114</v>
      </c>
      <c r="R616" s="30"/>
      <c r="S616" s="75" t="s">
        <v>28</v>
      </c>
      <c r="T616" s="44">
        <v>0.87491351309393084</v>
      </c>
      <c r="U616" s="80">
        <v>1920</v>
      </c>
      <c r="V616" s="77">
        <v>1679.8339451403472</v>
      </c>
      <c r="W616" s="30"/>
      <c r="X616" s="75" t="s">
        <v>28</v>
      </c>
      <c r="Y616" s="44">
        <v>1.6107352200934704</v>
      </c>
      <c r="Z616" s="80">
        <v>1920</v>
      </c>
      <c r="AA616" s="77">
        <v>3092.6116225794631</v>
      </c>
      <c r="AB616" s="74"/>
      <c r="AC616" s="46">
        <f>[1]Calc!$B$42/[1]Calc!$B$47</f>
        <v>2.2538589566257216E-2</v>
      </c>
      <c r="AD616" s="75"/>
      <c r="AE616" s="44"/>
      <c r="AF616" s="80"/>
      <c r="AG616" s="77">
        <f>AC616*3058.706</f>
        <v>68.938919137848345</v>
      </c>
      <c r="AH616" s="32" t="e">
        <f>[1]Calc!$C$42/[1]Calc!$C$47</f>
        <v>#DIV/0!</v>
      </c>
      <c r="AI616" s="75"/>
      <c r="AJ616" s="44"/>
      <c r="AK616" s="80"/>
      <c r="AL616" s="77"/>
      <c r="AM616" s="32" t="e">
        <f>[1]Calc!$D$42/[1]Calc!$D$47</f>
        <v>#DIV/0!</v>
      </c>
      <c r="AN616" s="75"/>
      <c r="AO616" s="44"/>
      <c r="AP616" s="80"/>
      <c r="AQ616" s="77"/>
      <c r="AR616" s="32" t="e">
        <f>[1]Calc!$E$42/[1]Calc!$E$47</f>
        <v>#DIV/0!</v>
      </c>
      <c r="AS616" s="75"/>
      <c r="AT616" s="44"/>
      <c r="AU616" s="80"/>
      <c r="AV616" s="77"/>
      <c r="AW616" s="30"/>
      <c r="AX616" s="75"/>
      <c r="AY616" s="44"/>
      <c r="AZ616" s="80"/>
      <c r="BA616" s="77">
        <f t="shared" si="22"/>
        <v>68.938919137848345</v>
      </c>
      <c r="BB616" s="9"/>
    </row>
    <row r="617" spans="1:54" ht="17.25" customHeight="1" x14ac:dyDescent="0.35">
      <c r="A617" s="54"/>
      <c r="B617" s="86" t="s">
        <v>159</v>
      </c>
      <c r="C617" s="74" t="s">
        <v>35</v>
      </c>
      <c r="D617" s="75" t="s">
        <v>28</v>
      </c>
      <c r="E617" s="44">
        <v>9.2985693898640136</v>
      </c>
      <c r="F617" s="80">
        <v>609.79606894964149</v>
      </c>
      <c r="G617" s="77">
        <v>5670.2310607945419</v>
      </c>
      <c r="H617" s="74"/>
      <c r="I617" s="75" t="s">
        <v>28</v>
      </c>
      <c r="J617" s="44">
        <v>0.27017969132953445</v>
      </c>
      <c r="K617" s="80">
        <v>609.79606894964149</v>
      </c>
      <c r="L617" s="77">
        <v>164.75451368277766</v>
      </c>
      <c r="M617" s="30"/>
      <c r="N617" s="75" t="s">
        <v>28</v>
      </c>
      <c r="O617" s="44">
        <v>1.9741273039956433</v>
      </c>
      <c r="P617" s="80">
        <v>609.79606894964149</v>
      </c>
      <c r="Q617" s="77">
        <v>1203.8150695826971</v>
      </c>
      <c r="R617" s="30"/>
      <c r="S617" s="75" t="s">
        <v>28</v>
      </c>
      <c r="T617" s="44">
        <v>2.6247405392817926</v>
      </c>
      <c r="U617" s="80">
        <v>609.79606894964149</v>
      </c>
      <c r="V617" s="77">
        <v>1600.5564628667992</v>
      </c>
      <c r="W617" s="30"/>
      <c r="X617" s="75" t="s">
        <v>28</v>
      </c>
      <c r="Y617" s="44">
        <v>4.4295218552570441</v>
      </c>
      <c r="Z617" s="80">
        <v>609.79606894964149</v>
      </c>
      <c r="AA617" s="77">
        <v>2701.1050146622683</v>
      </c>
      <c r="AB617" s="74"/>
      <c r="AC617" s="46">
        <f>[1]Calc!$B$42/[1]Calc!$B$47</f>
        <v>2.2538589566257216E-2</v>
      </c>
      <c r="AD617" s="75"/>
      <c r="AE617" s="44"/>
      <c r="AF617" s="80"/>
      <c r="AG617" s="77">
        <f>AC617*14588.161</f>
        <v>328.79657330548042</v>
      </c>
      <c r="AH617" s="32" t="e">
        <f>[1]Calc!$C$42/[1]Calc!$C$47</f>
        <v>#DIV/0!</v>
      </c>
      <c r="AI617" s="75"/>
      <c r="AJ617" s="44"/>
      <c r="AK617" s="80"/>
      <c r="AL617" s="77"/>
      <c r="AM617" s="32" t="e">
        <f>[1]Calc!$D$42/[1]Calc!$D$47</f>
        <v>#DIV/0!</v>
      </c>
      <c r="AN617" s="75"/>
      <c r="AO617" s="44"/>
      <c r="AP617" s="80"/>
      <c r="AQ617" s="77"/>
      <c r="AR617" s="32" t="e">
        <f>[1]Calc!$E$42/[1]Calc!$E$47</f>
        <v>#DIV/0!</v>
      </c>
      <c r="AS617" s="75"/>
      <c r="AT617" s="44"/>
      <c r="AU617" s="80"/>
      <c r="AV617" s="77"/>
      <c r="AW617" s="30"/>
      <c r="AX617" s="75"/>
      <c r="AY617" s="44"/>
      <c r="AZ617" s="80"/>
      <c r="BA617" s="77">
        <f t="shared" si="22"/>
        <v>328.79657330548042</v>
      </c>
      <c r="BB617" s="9"/>
    </row>
    <row r="618" spans="1:54" ht="17.25" customHeight="1" x14ac:dyDescent="0.35">
      <c r="A618" s="54"/>
      <c r="B618" s="86" t="s">
        <v>160</v>
      </c>
      <c r="C618" s="74" t="s">
        <v>35</v>
      </c>
      <c r="D618" s="75" t="s">
        <v>28</v>
      </c>
      <c r="E618" s="44">
        <v>24.693259442940402</v>
      </c>
      <c r="F618" s="80">
        <v>533.57156033093645</v>
      </c>
      <c r="G618" s="77">
        <v>13175.62097062634</v>
      </c>
      <c r="H618" s="74"/>
      <c r="I618" s="75" t="s">
        <v>28</v>
      </c>
      <c r="J618" s="82">
        <v>0.61755358018179307</v>
      </c>
      <c r="K618" s="83">
        <v>533.57156033093634</v>
      </c>
      <c r="L618" s="77">
        <v>329.50902736555531</v>
      </c>
      <c r="M618" s="30"/>
      <c r="N618" s="75" t="s">
        <v>28</v>
      </c>
      <c r="O618" s="82">
        <v>5.2643394773217143</v>
      </c>
      <c r="P618" s="83">
        <v>533.57156033093634</v>
      </c>
      <c r="Q618" s="77">
        <v>2808.9018290262929</v>
      </c>
      <c r="R618" s="30"/>
      <c r="S618" s="75" t="s">
        <v>28</v>
      </c>
      <c r="T618" s="82">
        <v>6.9993081047514467</v>
      </c>
      <c r="U618" s="83">
        <v>533.57156033093634</v>
      </c>
      <c r="V618" s="77">
        <v>3734.6317466891983</v>
      </c>
      <c r="W618" s="30"/>
      <c r="X618" s="75" t="s">
        <v>28</v>
      </c>
      <c r="Y618" s="82">
        <v>11.81205828068545</v>
      </c>
      <c r="Z618" s="83">
        <v>533.57156033093634</v>
      </c>
      <c r="AA618" s="77">
        <v>6302.5783675452931</v>
      </c>
      <c r="AB618" s="74"/>
      <c r="AC618" s="46">
        <f>[1]Calc!$B$42/[1]Calc!$B$47</f>
        <v>2.2538589566257216E-2</v>
      </c>
      <c r="AD618" s="75"/>
      <c r="AE618" s="44"/>
      <c r="AF618" s="80"/>
      <c r="AG618" s="77">
        <f>AC618*26052.739</f>
        <v>587.19199139782245</v>
      </c>
      <c r="AH618" s="32" t="e">
        <f>[1]Calc!$C$42/[1]Calc!$C$47</f>
        <v>#DIV/0!</v>
      </c>
      <c r="AI618" s="75"/>
      <c r="AJ618" s="44"/>
      <c r="AK618" s="80"/>
      <c r="AL618" s="77"/>
      <c r="AM618" s="32" t="e">
        <f>[1]Calc!$D$42/[1]Calc!$D$47</f>
        <v>#DIV/0!</v>
      </c>
      <c r="AN618" s="75"/>
      <c r="AO618" s="44"/>
      <c r="AP618" s="80"/>
      <c r="AQ618" s="77"/>
      <c r="AR618" s="32" t="e">
        <f>[1]Calc!$E$42/[1]Calc!$E$47</f>
        <v>#DIV/0!</v>
      </c>
      <c r="AS618" s="75"/>
      <c r="AT618" s="82"/>
      <c r="AU618" s="83"/>
      <c r="AV618" s="77"/>
      <c r="AW618" s="30"/>
      <c r="AX618" s="75"/>
      <c r="AY618" s="44"/>
      <c r="AZ618" s="80"/>
      <c r="BA618" s="77">
        <f t="shared" si="22"/>
        <v>587.19199139782245</v>
      </c>
      <c r="BB618" s="9"/>
    </row>
    <row r="619" spans="1:54" ht="17.25" customHeight="1" x14ac:dyDescent="0.35">
      <c r="A619" s="54"/>
      <c r="B619" s="85" t="s">
        <v>161</v>
      </c>
      <c r="C619" s="74" t="s">
        <v>27</v>
      </c>
      <c r="D619" s="75" t="s">
        <v>28</v>
      </c>
      <c r="E619" s="44">
        <v>1.9238797450238705</v>
      </c>
      <c r="F619" s="80">
        <v>220</v>
      </c>
      <c r="G619" s="77">
        <v>423.25354390525149</v>
      </c>
      <c r="H619" s="74"/>
      <c r="I619" s="75" t="s">
        <v>28</v>
      </c>
      <c r="J619" s="82">
        <v>9.0059897109844828E-2</v>
      </c>
      <c r="K619" s="173">
        <v>220</v>
      </c>
      <c r="L619" s="77">
        <v>19.813177364165863</v>
      </c>
      <c r="M619" s="30"/>
      <c r="N619" s="75" t="s">
        <v>28</v>
      </c>
      <c r="O619" s="82">
        <v>0.38385808688804168</v>
      </c>
      <c r="P619" s="83">
        <v>220</v>
      </c>
      <c r="Q619" s="77">
        <v>84.448779115369177</v>
      </c>
      <c r="R619" s="30"/>
      <c r="S619" s="75" t="s">
        <v>28</v>
      </c>
      <c r="T619" s="82">
        <v>0.5103662159714597</v>
      </c>
      <c r="U619" s="83">
        <v>220</v>
      </c>
      <c r="V619" s="77">
        <v>112.28056751372114</v>
      </c>
      <c r="W619" s="30"/>
      <c r="X619" s="75" t="s">
        <v>28</v>
      </c>
      <c r="Y619" s="82">
        <v>0.93959554505452436</v>
      </c>
      <c r="Z619" s="83">
        <v>220</v>
      </c>
      <c r="AA619" s="77">
        <v>206.71101991199535</v>
      </c>
      <c r="AB619" s="74"/>
      <c r="AC619" s="46">
        <f>[1]Calc!$B$42/[1]Calc!$B$47</f>
        <v>2.2538589566257216E-2</v>
      </c>
      <c r="AD619" s="75"/>
      <c r="AE619" s="44"/>
      <c r="AF619" s="80"/>
      <c r="AG619" s="77">
        <f>AC619*0</f>
        <v>0</v>
      </c>
      <c r="AH619" s="32" t="e">
        <f>[1]Calc!$C$42/[1]Calc!$C$47</f>
        <v>#DIV/0!</v>
      </c>
      <c r="AI619" s="75"/>
      <c r="AJ619" s="44"/>
      <c r="AK619" s="80"/>
      <c r="AL619" s="77"/>
      <c r="AM619" s="32" t="e">
        <f>[1]Calc!$D$42/[1]Calc!$D$47</f>
        <v>#DIV/0!</v>
      </c>
      <c r="AN619" s="75"/>
      <c r="AO619" s="44"/>
      <c r="AP619" s="80"/>
      <c r="AQ619" s="77"/>
      <c r="AR619" s="32" t="e">
        <f>[1]Calc!$E$42/[1]Calc!$E$47</f>
        <v>#DIV/0!</v>
      </c>
      <c r="AS619" s="75"/>
      <c r="AT619" s="82"/>
      <c r="AU619" s="83"/>
      <c r="AV619" s="77"/>
      <c r="AW619" s="30"/>
      <c r="AX619" s="75"/>
      <c r="AY619" s="44"/>
      <c r="AZ619" s="80"/>
      <c r="BA619" s="77">
        <f t="shared" si="22"/>
        <v>0</v>
      </c>
      <c r="BB619" s="9"/>
    </row>
    <row r="620" spans="1:54" ht="17.25" customHeight="1" x14ac:dyDescent="0.35">
      <c r="A620" s="54"/>
      <c r="B620" s="55"/>
      <c r="C620" s="42"/>
      <c r="D620" s="43"/>
      <c r="E620" s="44"/>
      <c r="F620" s="89"/>
      <c r="G620" s="77"/>
      <c r="H620" s="42"/>
      <c r="I620" s="43"/>
      <c r="J620" s="44"/>
      <c r="K620" s="89"/>
      <c r="L620" s="77"/>
      <c r="M620" s="30"/>
      <c r="N620" s="43"/>
      <c r="O620" s="44"/>
      <c r="P620" s="89"/>
      <c r="Q620" s="77"/>
      <c r="R620" s="30"/>
      <c r="S620" s="43"/>
      <c r="T620" s="44"/>
      <c r="U620" s="89"/>
      <c r="V620" s="77"/>
      <c r="W620" s="30"/>
      <c r="X620" s="43"/>
      <c r="Y620" s="44"/>
      <c r="Z620" s="89"/>
      <c r="AA620" s="77"/>
      <c r="AB620" s="42"/>
      <c r="AC620" s="46"/>
      <c r="AD620" s="75"/>
      <c r="AE620" s="44"/>
      <c r="AF620" s="80"/>
      <c r="AG620" s="77"/>
      <c r="AH620" s="32" t="e">
        <f>[1]Calc!$C$42/[1]Calc!$C$47</f>
        <v>#DIV/0!</v>
      </c>
      <c r="AI620" s="75"/>
      <c r="AJ620" s="44"/>
      <c r="AK620" s="80"/>
      <c r="AL620" s="77"/>
      <c r="AM620" s="32" t="e">
        <f>[1]Calc!$D$42/[1]Calc!$D$47</f>
        <v>#DIV/0!</v>
      </c>
      <c r="AN620" s="75"/>
      <c r="AO620" s="44"/>
      <c r="AP620" s="80"/>
      <c r="AQ620" s="77"/>
      <c r="AR620" s="32" t="e">
        <f>[1]Calc!$E$42/[1]Calc!$E$47</f>
        <v>#DIV/0!</v>
      </c>
      <c r="AS620" s="43"/>
      <c r="AT620" s="44"/>
      <c r="AU620" s="89"/>
      <c r="AV620" s="77"/>
      <c r="AW620" s="30"/>
      <c r="AX620" s="43"/>
      <c r="AY620" s="44"/>
      <c r="AZ620" s="89"/>
      <c r="BA620" s="77"/>
      <c r="BB620" s="9"/>
    </row>
    <row r="621" spans="1:54" ht="17.25" customHeight="1" x14ac:dyDescent="0.35">
      <c r="A621" s="54"/>
      <c r="B621" s="174" t="s">
        <v>162</v>
      </c>
      <c r="C621" s="175"/>
      <c r="D621" s="43"/>
      <c r="E621" s="44"/>
      <c r="F621" s="45"/>
      <c r="G621" s="77"/>
      <c r="H621" s="175"/>
      <c r="I621" s="43"/>
      <c r="J621" s="44"/>
      <c r="K621" s="45"/>
      <c r="L621" s="77"/>
      <c r="M621" s="30"/>
      <c r="N621" s="43"/>
      <c r="O621" s="44"/>
      <c r="P621" s="45"/>
      <c r="Q621" s="77"/>
      <c r="R621" s="30"/>
      <c r="S621" s="43"/>
      <c r="T621" s="44"/>
      <c r="U621" s="45"/>
      <c r="V621" s="77"/>
      <c r="W621" s="30"/>
      <c r="X621" s="43"/>
      <c r="Y621" s="44"/>
      <c r="Z621" s="45"/>
      <c r="AA621" s="77"/>
      <c r="AB621" s="175"/>
      <c r="AC621" s="46"/>
      <c r="AD621" s="75"/>
      <c r="AE621" s="44"/>
      <c r="AF621" s="80"/>
      <c r="AG621" s="77"/>
      <c r="AH621" s="32" t="e">
        <f>[1]Calc!$C$42/[1]Calc!$C$47</f>
        <v>#DIV/0!</v>
      </c>
      <c r="AI621" s="75"/>
      <c r="AJ621" s="44"/>
      <c r="AK621" s="80"/>
      <c r="AL621" s="77"/>
      <c r="AM621" s="32" t="e">
        <f>[1]Calc!$D$42/[1]Calc!$D$47</f>
        <v>#DIV/0!</v>
      </c>
      <c r="AN621" s="75"/>
      <c r="AO621" s="44"/>
      <c r="AP621" s="80"/>
      <c r="AQ621" s="77"/>
      <c r="AR621" s="32" t="e">
        <f>[1]Calc!$E$42/[1]Calc!$E$47</f>
        <v>#DIV/0!</v>
      </c>
      <c r="AS621" s="43"/>
      <c r="AT621" s="44"/>
      <c r="AU621" s="45"/>
      <c r="AV621" s="77"/>
      <c r="AW621" s="30"/>
      <c r="AX621" s="43"/>
      <c r="AY621" s="44"/>
      <c r="AZ621" s="45"/>
      <c r="BA621" s="77"/>
      <c r="BB621" s="9"/>
    </row>
    <row r="622" spans="1:54" ht="17.25" customHeight="1" x14ac:dyDescent="0.35">
      <c r="A622" s="54"/>
      <c r="B622" s="86" t="s">
        <v>163</v>
      </c>
      <c r="C622" s="74"/>
      <c r="D622" s="75"/>
      <c r="E622" s="76"/>
      <c r="F622" s="77"/>
      <c r="G622" s="77"/>
      <c r="H622" s="74"/>
      <c r="I622" s="75"/>
      <c r="J622" s="76"/>
      <c r="K622" s="77"/>
      <c r="L622" s="77"/>
      <c r="M622" s="30"/>
      <c r="N622" s="75"/>
      <c r="O622" s="76"/>
      <c r="P622" s="77"/>
      <c r="Q622" s="77"/>
      <c r="R622" s="30"/>
      <c r="S622" s="75"/>
      <c r="T622" s="76"/>
      <c r="U622" s="77"/>
      <c r="V622" s="77"/>
      <c r="W622" s="30"/>
      <c r="X622" s="75"/>
      <c r="Y622" s="76"/>
      <c r="Z622" s="77"/>
      <c r="AA622" s="77"/>
      <c r="AB622" s="74"/>
      <c r="AC622" s="46"/>
      <c r="AD622" s="75"/>
      <c r="AE622" s="44"/>
      <c r="AF622" s="80"/>
      <c r="AG622" s="77"/>
      <c r="AH622" s="32" t="e">
        <f>[1]Calc!$C$42/[1]Calc!$C$47</f>
        <v>#DIV/0!</v>
      </c>
      <c r="AI622" s="75"/>
      <c r="AJ622" s="44"/>
      <c r="AK622" s="80"/>
      <c r="AL622" s="77"/>
      <c r="AM622" s="32" t="e">
        <f>[1]Calc!$D$42/[1]Calc!$D$47</f>
        <v>#DIV/0!</v>
      </c>
      <c r="AN622" s="75"/>
      <c r="AO622" s="44"/>
      <c r="AP622" s="80"/>
      <c r="AQ622" s="77"/>
      <c r="AR622" s="32" t="e">
        <f>[1]Calc!$E$42/[1]Calc!$E$47</f>
        <v>#DIV/0!</v>
      </c>
      <c r="AS622" s="75"/>
      <c r="AT622" s="76"/>
      <c r="AU622" s="77"/>
      <c r="AV622" s="77"/>
      <c r="AW622" s="30"/>
      <c r="AX622" s="75"/>
      <c r="AY622" s="76"/>
      <c r="AZ622" s="77"/>
      <c r="BA622" s="77"/>
      <c r="BB622" s="9"/>
    </row>
    <row r="623" spans="1:54" ht="17.25" customHeight="1" x14ac:dyDescent="0.35">
      <c r="A623" s="54"/>
      <c r="B623" s="79" t="s">
        <v>164</v>
      </c>
      <c r="C623" s="74" t="s">
        <v>27</v>
      </c>
      <c r="D623" s="75" t="s">
        <v>165</v>
      </c>
      <c r="E623" s="44">
        <v>0.82451989072451592</v>
      </c>
      <c r="F623" s="80">
        <v>395.99999999999994</v>
      </c>
      <c r="G623" s="77">
        <v>326.50987672690826</v>
      </c>
      <c r="H623" s="74"/>
      <c r="I623" s="75" t="s">
        <v>165</v>
      </c>
      <c r="J623" s="76">
        <v>3.8597098761362067E-2</v>
      </c>
      <c r="K623" s="77">
        <v>396</v>
      </c>
      <c r="L623" s="77">
        <v>15.284451109499379</v>
      </c>
      <c r="M623" s="30"/>
      <c r="N623" s="75" t="s">
        <v>165</v>
      </c>
      <c r="O623" s="76">
        <v>0.16451060866630357</v>
      </c>
      <c r="P623" s="77">
        <v>396</v>
      </c>
      <c r="Q623" s="77">
        <v>65.146201031856208</v>
      </c>
      <c r="R623" s="30"/>
      <c r="S623" s="75" t="s">
        <v>165</v>
      </c>
      <c r="T623" s="76">
        <v>0.21872837827348271</v>
      </c>
      <c r="U623" s="77">
        <v>396</v>
      </c>
      <c r="V623" s="77">
        <v>86.616437796299152</v>
      </c>
      <c r="W623" s="30"/>
      <c r="X623" s="75" t="s">
        <v>165</v>
      </c>
      <c r="Y623" s="76">
        <v>0.40268380502336759</v>
      </c>
      <c r="Z623" s="77">
        <v>396</v>
      </c>
      <c r="AA623" s="77">
        <v>159.46278678925356</v>
      </c>
      <c r="AB623" s="74"/>
      <c r="AC623" s="46">
        <f>[1]Calc!$B$42/[1]Calc!$B$47</f>
        <v>2.2538589566257216E-2</v>
      </c>
      <c r="AD623" s="75"/>
      <c r="AE623" s="44"/>
      <c r="AF623" s="80"/>
      <c r="AG623" s="77">
        <f>AC623*1862.561</f>
        <v>41.979497921117606</v>
      </c>
      <c r="AH623" s="32" t="e">
        <f>[1]Calc!$C$42/[1]Calc!$C$47</f>
        <v>#DIV/0!</v>
      </c>
      <c r="AI623" s="75"/>
      <c r="AJ623" s="44"/>
      <c r="AK623" s="80"/>
      <c r="AL623" s="77"/>
      <c r="AM623" s="32" t="e">
        <f>[1]Calc!$D$42/[1]Calc!$D$47</f>
        <v>#DIV/0!</v>
      </c>
      <c r="AN623" s="75"/>
      <c r="AO623" s="44"/>
      <c r="AP623" s="80"/>
      <c r="AQ623" s="77"/>
      <c r="AR623" s="32" t="e">
        <f>[1]Calc!$E$42/[1]Calc!$E$47</f>
        <v>#DIV/0!</v>
      </c>
      <c r="AS623" s="75"/>
      <c r="AT623" s="76"/>
      <c r="AU623" s="77"/>
      <c r="AV623" s="77"/>
      <c r="AW623" s="30"/>
      <c r="AX623" s="75"/>
      <c r="AY623" s="44"/>
      <c r="AZ623" s="80"/>
      <c r="BA623" s="77">
        <f>AG623+AL623+AQ623+AV623</f>
        <v>41.979497921117606</v>
      </c>
      <c r="BB623" s="9"/>
    </row>
    <row r="624" spans="1:54" ht="17.25" customHeight="1" x14ac:dyDescent="0.35">
      <c r="A624" s="54"/>
      <c r="B624" s="79" t="s">
        <v>166</v>
      </c>
      <c r="C624" s="74" t="s">
        <v>27</v>
      </c>
      <c r="D624" s="75" t="s">
        <v>165</v>
      </c>
      <c r="E624" s="44">
        <v>0.27483996357483864</v>
      </c>
      <c r="F624" s="80">
        <v>610.00000000000011</v>
      </c>
      <c r="G624" s="77">
        <v>167.65237778065159</v>
      </c>
      <c r="H624" s="74"/>
      <c r="I624" s="75" t="s">
        <v>165</v>
      </c>
      <c r="J624" s="76">
        <v>1.286569958712069E-2</v>
      </c>
      <c r="K624" s="77">
        <v>610</v>
      </c>
      <c r="L624" s="77">
        <v>7.8480767481436207</v>
      </c>
      <c r="M624" s="30"/>
      <c r="N624" s="75" t="s">
        <v>165</v>
      </c>
      <c r="O624" s="76">
        <v>5.4836869555434535E-2</v>
      </c>
      <c r="P624" s="77">
        <v>610</v>
      </c>
      <c r="Q624" s="77">
        <v>33.450490428815066</v>
      </c>
      <c r="R624" s="30"/>
      <c r="S624" s="75" t="s">
        <v>165</v>
      </c>
      <c r="T624" s="76">
        <v>7.2909459424494241E-2</v>
      </c>
      <c r="U624" s="77">
        <v>610</v>
      </c>
      <c r="V624" s="77">
        <v>44.474770248941489</v>
      </c>
      <c r="W624" s="30"/>
      <c r="X624" s="75" t="s">
        <v>165</v>
      </c>
      <c r="Y624" s="76">
        <v>0.13422793500778921</v>
      </c>
      <c r="Z624" s="77">
        <v>610</v>
      </c>
      <c r="AA624" s="77">
        <v>81.87904035475141</v>
      </c>
      <c r="AB624" s="74"/>
      <c r="AC624" s="46">
        <f>[1]Calc!$B$42/[1]Calc!$B$47</f>
        <v>2.2538589566257216E-2</v>
      </c>
      <c r="AD624" s="75"/>
      <c r="AE624" s="44"/>
      <c r="AF624" s="80"/>
      <c r="AG624" s="77">
        <f>AC624*0</f>
        <v>0</v>
      </c>
      <c r="AH624" s="32" t="e">
        <f>[1]Calc!$C$42/[1]Calc!$C$47</f>
        <v>#DIV/0!</v>
      </c>
      <c r="AI624" s="75"/>
      <c r="AJ624" s="44"/>
      <c r="AK624" s="80"/>
      <c r="AL624" s="77"/>
      <c r="AM624" s="32" t="e">
        <f>[1]Calc!$D$42/[1]Calc!$D$47</f>
        <v>#DIV/0!</v>
      </c>
      <c r="AN624" s="75"/>
      <c r="AO624" s="44"/>
      <c r="AP624" s="80"/>
      <c r="AQ624" s="77"/>
      <c r="AR624" s="32" t="e">
        <f>[1]Calc!$E$42/[1]Calc!$E$47</f>
        <v>#DIV/0!</v>
      </c>
      <c r="AS624" s="75"/>
      <c r="AT624" s="76"/>
      <c r="AU624" s="77"/>
      <c r="AV624" s="77"/>
      <c r="AW624" s="30"/>
      <c r="AX624" s="75"/>
      <c r="AY624" s="44"/>
      <c r="AZ624" s="80"/>
      <c r="BA624" s="77">
        <f>AG624+AL624+AQ624+AV624</f>
        <v>0</v>
      </c>
      <c r="BB624" s="9"/>
    </row>
    <row r="625" spans="1:54" ht="17.25" customHeight="1" x14ac:dyDescent="0.35">
      <c r="A625" s="54"/>
      <c r="B625" s="86"/>
      <c r="C625" s="74"/>
      <c r="D625" s="75"/>
      <c r="E625" s="76"/>
      <c r="F625" s="77"/>
      <c r="G625" s="77"/>
      <c r="H625" s="74"/>
      <c r="I625" s="75"/>
      <c r="J625" s="76"/>
      <c r="K625" s="77"/>
      <c r="L625" s="77"/>
      <c r="M625" s="30"/>
      <c r="N625" s="75"/>
      <c r="O625" s="76"/>
      <c r="P625" s="77"/>
      <c r="Q625" s="77"/>
      <c r="R625" s="30"/>
      <c r="S625" s="75"/>
      <c r="T625" s="76"/>
      <c r="U625" s="77"/>
      <c r="V625" s="77"/>
      <c r="W625" s="30"/>
      <c r="X625" s="75"/>
      <c r="Y625" s="76"/>
      <c r="Z625" s="77"/>
      <c r="AA625" s="77"/>
      <c r="AB625" s="74"/>
      <c r="AC625" s="46"/>
      <c r="AD625" s="75"/>
      <c r="AE625" s="44"/>
      <c r="AF625" s="80"/>
      <c r="AG625" s="77"/>
      <c r="AH625" s="32" t="e">
        <f>[1]Calc!$C$42/[1]Calc!$C$47</f>
        <v>#DIV/0!</v>
      </c>
      <c r="AI625" s="75"/>
      <c r="AJ625" s="44"/>
      <c r="AK625" s="80"/>
      <c r="AL625" s="77"/>
      <c r="AM625" s="32" t="e">
        <f>[1]Calc!$D$42/[1]Calc!$D$47</f>
        <v>#DIV/0!</v>
      </c>
      <c r="AN625" s="75"/>
      <c r="AO625" s="44"/>
      <c r="AP625" s="80"/>
      <c r="AQ625" s="77"/>
      <c r="AR625" s="32" t="e">
        <f>[1]Calc!$E$42/[1]Calc!$E$47</f>
        <v>#DIV/0!</v>
      </c>
      <c r="AS625" s="75"/>
      <c r="AT625" s="76"/>
      <c r="AU625" s="77"/>
      <c r="AV625" s="77"/>
      <c r="AW625" s="30"/>
      <c r="AX625" s="75"/>
      <c r="AY625" s="76"/>
      <c r="AZ625" s="77"/>
      <c r="BA625" s="77"/>
      <c r="BB625" s="9"/>
    </row>
    <row r="626" spans="1:54" ht="17.25" customHeight="1" x14ac:dyDescent="0.35">
      <c r="A626" s="54"/>
      <c r="B626" s="86" t="s">
        <v>167</v>
      </c>
      <c r="C626" s="74"/>
      <c r="D626" s="75"/>
      <c r="E626" s="76"/>
      <c r="F626" s="77"/>
      <c r="G626" s="77"/>
      <c r="H626" s="74"/>
      <c r="I626" s="75"/>
      <c r="J626" s="76"/>
      <c r="K626" s="77"/>
      <c r="L626" s="77"/>
      <c r="M626" s="30"/>
      <c r="N626" s="75"/>
      <c r="O626" s="76"/>
      <c r="P626" s="77"/>
      <c r="Q626" s="77"/>
      <c r="R626" s="30"/>
      <c r="S626" s="75"/>
      <c r="T626" s="76"/>
      <c r="U626" s="77"/>
      <c r="V626" s="77"/>
      <c r="W626" s="30"/>
      <c r="X626" s="75"/>
      <c r="Y626" s="76"/>
      <c r="Z626" s="77"/>
      <c r="AA626" s="77"/>
      <c r="AB626" s="74"/>
      <c r="AC626" s="46"/>
      <c r="AD626" s="75"/>
      <c r="AE626" s="44"/>
      <c r="AF626" s="80"/>
      <c r="AG626" s="77"/>
      <c r="AH626" s="32" t="e">
        <f>[1]Calc!$C$42/[1]Calc!$C$47</f>
        <v>#DIV/0!</v>
      </c>
      <c r="AI626" s="75"/>
      <c r="AJ626" s="44"/>
      <c r="AK626" s="80"/>
      <c r="AL626" s="77"/>
      <c r="AM626" s="32" t="e">
        <f>[1]Calc!$D$42/[1]Calc!$D$47</f>
        <v>#DIV/0!</v>
      </c>
      <c r="AN626" s="75"/>
      <c r="AO626" s="44"/>
      <c r="AP626" s="80"/>
      <c r="AQ626" s="77"/>
      <c r="AR626" s="32" t="e">
        <f>[1]Calc!$E$42/[1]Calc!$E$47</f>
        <v>#DIV/0!</v>
      </c>
      <c r="AS626" s="75"/>
      <c r="AT626" s="76"/>
      <c r="AU626" s="77"/>
      <c r="AV626" s="77"/>
      <c r="AW626" s="30"/>
      <c r="AX626" s="75"/>
      <c r="AY626" s="76"/>
      <c r="AZ626" s="77"/>
      <c r="BA626" s="77"/>
      <c r="BB626" s="9"/>
    </row>
    <row r="627" spans="1:54" ht="17.25" customHeight="1" x14ac:dyDescent="0.35">
      <c r="A627" s="54"/>
      <c r="B627" s="86" t="s">
        <v>168</v>
      </c>
      <c r="C627" s="74" t="s">
        <v>27</v>
      </c>
      <c r="D627" s="75" t="s">
        <v>103</v>
      </c>
      <c r="E627" s="44">
        <v>2.7483996357483869</v>
      </c>
      <c r="F627" s="80">
        <v>76</v>
      </c>
      <c r="G627" s="77">
        <v>208.8783723168774</v>
      </c>
      <c r="H627" s="74"/>
      <c r="I627" s="75" t="s">
        <v>103</v>
      </c>
      <c r="J627" s="76">
        <v>0.12865699587120691</v>
      </c>
      <c r="K627" s="77">
        <v>76</v>
      </c>
      <c r="L627" s="77">
        <v>9.7779316862117245</v>
      </c>
      <c r="M627" s="30"/>
      <c r="N627" s="75" t="s">
        <v>103</v>
      </c>
      <c r="O627" s="76">
        <v>0.54836869555434531</v>
      </c>
      <c r="P627" s="77">
        <v>76</v>
      </c>
      <c r="Q627" s="77">
        <v>41.676020862130244</v>
      </c>
      <c r="R627" s="30"/>
      <c r="S627" s="75" t="s">
        <v>103</v>
      </c>
      <c r="T627" s="76">
        <v>0.7290945942449425</v>
      </c>
      <c r="U627" s="77">
        <v>76</v>
      </c>
      <c r="V627" s="77">
        <v>55.411189162615628</v>
      </c>
      <c r="W627" s="30"/>
      <c r="X627" s="75" t="s">
        <v>103</v>
      </c>
      <c r="Y627" s="76">
        <v>1.342279350077892</v>
      </c>
      <c r="Z627" s="77">
        <v>76</v>
      </c>
      <c r="AA627" s="77">
        <v>102.01323060591979</v>
      </c>
      <c r="AB627" s="74"/>
      <c r="AC627" s="46">
        <f>[1]Calc!$B$42/[1]Calc!$B$47</f>
        <v>2.2538589566257216E-2</v>
      </c>
      <c r="AD627" s="75"/>
      <c r="AE627" s="44"/>
      <c r="AF627" s="80"/>
      <c r="AG627" s="77">
        <f>AC627*1004.635</f>
        <v>22.643055928896818</v>
      </c>
      <c r="AH627" s="32" t="e">
        <f>[1]Calc!$C$42/[1]Calc!$C$47</f>
        <v>#DIV/0!</v>
      </c>
      <c r="AI627" s="75"/>
      <c r="AJ627" s="44"/>
      <c r="AK627" s="80"/>
      <c r="AL627" s="77"/>
      <c r="AM627" s="32" t="e">
        <f>[1]Calc!$D$42/[1]Calc!$D$47</f>
        <v>#DIV/0!</v>
      </c>
      <c r="AN627" s="75"/>
      <c r="AO627" s="44"/>
      <c r="AP627" s="80"/>
      <c r="AQ627" s="77"/>
      <c r="AR627" s="32" t="e">
        <f>[1]Calc!$E$42/[1]Calc!$E$47</f>
        <v>#DIV/0!</v>
      </c>
      <c r="AS627" s="75"/>
      <c r="AT627" s="76"/>
      <c r="AU627" s="77"/>
      <c r="AV627" s="77"/>
      <c r="AW627" s="30"/>
      <c r="AX627" s="75"/>
      <c r="AY627" s="44"/>
      <c r="AZ627" s="80"/>
      <c r="BA627" s="77">
        <f>AG627+AL627+AQ627+AV627</f>
        <v>22.643055928896818</v>
      </c>
      <c r="BB627" s="9"/>
    </row>
    <row r="628" spans="1:54" ht="17.25" customHeight="1" x14ac:dyDescent="0.35">
      <c r="A628" s="54"/>
      <c r="B628" s="86" t="s">
        <v>169</v>
      </c>
      <c r="C628" s="74" t="s">
        <v>27</v>
      </c>
      <c r="D628" s="75" t="s">
        <v>103</v>
      </c>
      <c r="E628" s="44">
        <v>2.1987197085987091</v>
      </c>
      <c r="F628" s="80">
        <v>76.000000000000014</v>
      </c>
      <c r="G628" s="77">
        <v>167.10269785350192</v>
      </c>
      <c r="H628" s="74"/>
      <c r="I628" s="75" t="s">
        <v>103</v>
      </c>
      <c r="J628" s="76">
        <v>0.10292559669696552</v>
      </c>
      <c r="K628" s="77">
        <v>76</v>
      </c>
      <c r="L628" s="77">
        <v>7.8223453489693799</v>
      </c>
      <c r="M628" s="30"/>
      <c r="N628" s="75" t="s">
        <v>103</v>
      </c>
      <c r="O628" s="76">
        <v>0.43869495644347628</v>
      </c>
      <c r="P628" s="77">
        <v>76</v>
      </c>
      <c r="Q628" s="77">
        <v>33.340816689704198</v>
      </c>
      <c r="R628" s="30"/>
      <c r="S628" s="75" t="s">
        <v>103</v>
      </c>
      <c r="T628" s="76">
        <v>0.58327567539595393</v>
      </c>
      <c r="U628" s="77">
        <v>76</v>
      </c>
      <c r="V628" s="77">
        <v>44.328951330092501</v>
      </c>
      <c r="W628" s="30"/>
      <c r="X628" s="75" t="s">
        <v>103</v>
      </c>
      <c r="Y628" s="76">
        <v>1.0738234800623137</v>
      </c>
      <c r="Z628" s="77">
        <v>76</v>
      </c>
      <c r="AA628" s="77">
        <v>81.610584484735838</v>
      </c>
      <c r="AB628" s="74"/>
      <c r="AC628" s="46">
        <f>[1]Calc!$B$42/[1]Calc!$B$47</f>
        <v>2.2538589566257216E-2</v>
      </c>
      <c r="AD628" s="75"/>
      <c r="AE628" s="44"/>
      <c r="AF628" s="80"/>
      <c r="AG628" s="77">
        <f>AC628*1222.923</f>
        <v>27.562959568135973</v>
      </c>
      <c r="AH628" s="32" t="e">
        <f>[1]Calc!$C$42/[1]Calc!$C$47</f>
        <v>#DIV/0!</v>
      </c>
      <c r="AI628" s="75"/>
      <c r="AJ628" s="44"/>
      <c r="AK628" s="80"/>
      <c r="AL628" s="77"/>
      <c r="AM628" s="32" t="e">
        <f>[1]Calc!$D$42/[1]Calc!$D$47</f>
        <v>#DIV/0!</v>
      </c>
      <c r="AN628" s="75"/>
      <c r="AO628" s="44"/>
      <c r="AP628" s="80"/>
      <c r="AQ628" s="77"/>
      <c r="AR628" s="32" t="e">
        <f>[1]Calc!$E$42/[1]Calc!$E$47</f>
        <v>#DIV/0!</v>
      </c>
      <c r="AS628" s="75"/>
      <c r="AT628" s="76"/>
      <c r="AU628" s="77"/>
      <c r="AV628" s="77"/>
      <c r="AW628" s="30"/>
      <c r="AX628" s="75"/>
      <c r="AY628" s="44"/>
      <c r="AZ628" s="80"/>
      <c r="BA628" s="77">
        <f>AG628+AL628+AQ628+AV628</f>
        <v>27.562959568135973</v>
      </c>
      <c r="BB628" s="9"/>
    </row>
    <row r="629" spans="1:54" ht="17.25" customHeight="1" x14ac:dyDescent="0.35">
      <c r="A629" s="54"/>
      <c r="B629" s="86" t="s">
        <v>170</v>
      </c>
      <c r="C629" s="74" t="s">
        <v>27</v>
      </c>
      <c r="D629" s="75" t="s">
        <v>103</v>
      </c>
      <c r="E629" s="44">
        <v>0.27483996357483864</v>
      </c>
      <c r="F629" s="80">
        <v>152.00000000000003</v>
      </c>
      <c r="G629" s="77">
        <v>41.775674463375481</v>
      </c>
      <c r="H629" s="74"/>
      <c r="I629" s="75" t="s">
        <v>103</v>
      </c>
      <c r="J629" s="76">
        <v>1.286569958712069E-2</v>
      </c>
      <c r="K629" s="77">
        <v>152</v>
      </c>
      <c r="L629" s="77">
        <v>1.955586337242345</v>
      </c>
      <c r="M629" s="30"/>
      <c r="N629" s="75" t="s">
        <v>103</v>
      </c>
      <c r="O629" s="76">
        <v>5.4836869555434535E-2</v>
      </c>
      <c r="P629" s="77">
        <v>152</v>
      </c>
      <c r="Q629" s="77">
        <v>8.3352041724260495</v>
      </c>
      <c r="R629" s="30"/>
      <c r="S629" s="75" t="s">
        <v>103</v>
      </c>
      <c r="T629" s="76">
        <v>7.2909459424494241E-2</v>
      </c>
      <c r="U629" s="77">
        <v>152</v>
      </c>
      <c r="V629" s="77">
        <v>11.082237832523125</v>
      </c>
      <c r="W629" s="30"/>
      <c r="X629" s="75" t="s">
        <v>103</v>
      </c>
      <c r="Y629" s="76">
        <v>0.13422793500778921</v>
      </c>
      <c r="Z629" s="77">
        <v>152</v>
      </c>
      <c r="AA629" s="77">
        <v>20.40264612118396</v>
      </c>
      <c r="AB629" s="74"/>
      <c r="AC629" s="46">
        <f>[1]Calc!$B$42/[1]Calc!$B$47</f>
        <v>2.2538589566257216E-2</v>
      </c>
      <c r="AD629" s="75"/>
      <c r="AE629" s="44"/>
      <c r="AF629" s="80"/>
      <c r="AG629" s="77">
        <f>AC629*0</f>
        <v>0</v>
      </c>
      <c r="AH629" s="32" t="e">
        <f>[1]Calc!$C$42/[1]Calc!$C$47</f>
        <v>#DIV/0!</v>
      </c>
      <c r="AI629" s="75"/>
      <c r="AJ629" s="44"/>
      <c r="AK629" s="80"/>
      <c r="AL629" s="77"/>
      <c r="AM629" s="32" t="e">
        <f>[1]Calc!$D$42/[1]Calc!$D$47</f>
        <v>#DIV/0!</v>
      </c>
      <c r="AN629" s="75"/>
      <c r="AO629" s="44"/>
      <c r="AP629" s="80"/>
      <c r="AQ629" s="77"/>
      <c r="AR629" s="32" t="e">
        <f>[1]Calc!$E$42/[1]Calc!$E$47</f>
        <v>#DIV/0!</v>
      </c>
      <c r="AS629" s="75"/>
      <c r="AT629" s="76"/>
      <c r="AU629" s="77"/>
      <c r="AV629" s="77"/>
      <c r="AW629" s="30"/>
      <c r="AX629" s="75"/>
      <c r="AY629" s="44"/>
      <c r="AZ629" s="80"/>
      <c r="BA629" s="77">
        <f>AG629+AL629+AQ629+AV629</f>
        <v>0</v>
      </c>
      <c r="BB629" s="9"/>
    </row>
    <row r="630" spans="1:54" ht="17.25" customHeight="1" x14ac:dyDescent="0.35">
      <c r="A630" s="54"/>
      <c r="B630" s="86"/>
      <c r="C630" s="74"/>
      <c r="D630" s="75"/>
      <c r="E630" s="76"/>
      <c r="F630" s="77"/>
      <c r="G630" s="77"/>
      <c r="H630" s="74"/>
      <c r="I630" s="75"/>
      <c r="J630" s="76"/>
      <c r="K630" s="77"/>
      <c r="L630" s="77"/>
      <c r="M630" s="30"/>
      <c r="N630" s="75"/>
      <c r="O630" s="76"/>
      <c r="P630" s="77"/>
      <c r="Q630" s="77"/>
      <c r="R630" s="30"/>
      <c r="S630" s="75"/>
      <c r="T630" s="76"/>
      <c r="U630" s="77"/>
      <c r="V630" s="77"/>
      <c r="W630" s="30"/>
      <c r="X630" s="75"/>
      <c r="Y630" s="76"/>
      <c r="Z630" s="77"/>
      <c r="AA630" s="77"/>
      <c r="AB630" s="74"/>
      <c r="AC630" s="46"/>
      <c r="AD630" s="75"/>
      <c r="AE630" s="44"/>
      <c r="AF630" s="80"/>
      <c r="AG630" s="77"/>
      <c r="AH630" s="32" t="e">
        <f>[1]Calc!$C$42/[1]Calc!$C$47</f>
        <v>#DIV/0!</v>
      </c>
      <c r="AI630" s="75"/>
      <c r="AJ630" s="44"/>
      <c r="AK630" s="80"/>
      <c r="AL630" s="77"/>
      <c r="AM630" s="32" t="e">
        <f>[1]Calc!$D$42/[1]Calc!$D$47</f>
        <v>#DIV/0!</v>
      </c>
      <c r="AN630" s="75"/>
      <c r="AO630" s="44"/>
      <c r="AP630" s="80"/>
      <c r="AQ630" s="77"/>
      <c r="AR630" s="32" t="e">
        <f>[1]Calc!$E$42/[1]Calc!$E$47</f>
        <v>#DIV/0!</v>
      </c>
      <c r="AS630" s="75"/>
      <c r="AT630" s="76"/>
      <c r="AU630" s="77"/>
      <c r="AV630" s="77"/>
      <c r="AW630" s="30"/>
      <c r="AX630" s="75"/>
      <c r="AY630" s="76"/>
      <c r="AZ630" s="77"/>
      <c r="BA630" s="77"/>
      <c r="BB630" s="9"/>
    </row>
    <row r="631" spans="1:54" ht="17.25" customHeight="1" x14ac:dyDescent="0.35">
      <c r="A631" s="54"/>
      <c r="B631" s="71" t="s">
        <v>171</v>
      </c>
      <c r="C631" s="74"/>
      <c r="D631" s="75"/>
      <c r="E631" s="76"/>
      <c r="F631" s="77"/>
      <c r="G631" s="77"/>
      <c r="H631" s="74"/>
      <c r="I631" s="75"/>
      <c r="J631" s="76"/>
      <c r="K631" s="77"/>
      <c r="L631" s="77"/>
      <c r="M631" s="30"/>
      <c r="N631" s="75"/>
      <c r="O631" s="76"/>
      <c r="P631" s="77"/>
      <c r="Q631" s="77"/>
      <c r="R631" s="30"/>
      <c r="S631" s="75"/>
      <c r="T631" s="76"/>
      <c r="U631" s="77"/>
      <c r="V631" s="77"/>
      <c r="W631" s="30"/>
      <c r="X631" s="75"/>
      <c r="Y631" s="76"/>
      <c r="Z631" s="77"/>
      <c r="AA631" s="77"/>
      <c r="AB631" s="74"/>
      <c r="AC631" s="46"/>
      <c r="AD631" s="75"/>
      <c r="AE631" s="44"/>
      <c r="AF631" s="80"/>
      <c r="AG631" s="77"/>
      <c r="AH631" s="32" t="e">
        <f>[1]Calc!$C$42/[1]Calc!$C$47</f>
        <v>#DIV/0!</v>
      </c>
      <c r="AI631" s="75"/>
      <c r="AJ631" s="44"/>
      <c r="AK631" s="80"/>
      <c r="AL631" s="77"/>
      <c r="AM631" s="32" t="e">
        <f>[1]Calc!$D$42/[1]Calc!$D$47</f>
        <v>#DIV/0!</v>
      </c>
      <c r="AN631" s="75"/>
      <c r="AO631" s="44"/>
      <c r="AP631" s="80"/>
      <c r="AQ631" s="77"/>
      <c r="AR631" s="32" t="e">
        <f>[1]Calc!$E$42/[1]Calc!$E$47</f>
        <v>#DIV/0!</v>
      </c>
      <c r="AS631" s="75"/>
      <c r="AT631" s="76"/>
      <c r="AU631" s="77"/>
      <c r="AV631" s="77"/>
      <c r="AW631" s="30"/>
      <c r="AX631" s="75"/>
      <c r="AY631" s="76"/>
      <c r="AZ631" s="77"/>
      <c r="BA631" s="77"/>
      <c r="BB631" s="9"/>
    </row>
    <row r="632" spans="1:54" ht="17.25" customHeight="1" x14ac:dyDescent="0.35">
      <c r="A632" s="54"/>
      <c r="B632" s="73" t="s">
        <v>164</v>
      </c>
      <c r="C632" s="74"/>
      <c r="D632" s="75"/>
      <c r="E632" s="76"/>
      <c r="F632" s="77"/>
      <c r="G632" s="77"/>
      <c r="H632" s="74"/>
      <c r="I632" s="75"/>
      <c r="J632" s="76"/>
      <c r="K632" s="77"/>
      <c r="L632" s="77"/>
      <c r="M632" s="30"/>
      <c r="N632" s="75"/>
      <c r="O632" s="76"/>
      <c r="P632" s="77"/>
      <c r="Q632" s="77"/>
      <c r="R632" s="30"/>
      <c r="S632" s="75"/>
      <c r="T632" s="76"/>
      <c r="U632" s="77"/>
      <c r="V632" s="77"/>
      <c r="W632" s="30"/>
      <c r="X632" s="75"/>
      <c r="Y632" s="76"/>
      <c r="Z632" s="77"/>
      <c r="AA632" s="77"/>
      <c r="AB632" s="74"/>
      <c r="AC632" s="46"/>
      <c r="AD632" s="75"/>
      <c r="AE632" s="44"/>
      <c r="AF632" s="80"/>
      <c r="AG632" s="77"/>
      <c r="AH632" s="32" t="e">
        <f>[1]Calc!$C$42/[1]Calc!$C$47</f>
        <v>#DIV/0!</v>
      </c>
      <c r="AI632" s="75"/>
      <c r="AJ632" s="44"/>
      <c r="AK632" s="80"/>
      <c r="AL632" s="77"/>
      <c r="AM632" s="32" t="e">
        <f>[1]Calc!$D$42/[1]Calc!$D$47</f>
        <v>#DIV/0!</v>
      </c>
      <c r="AN632" s="75"/>
      <c r="AO632" s="44"/>
      <c r="AP632" s="80"/>
      <c r="AQ632" s="77"/>
      <c r="AR632" s="32" t="e">
        <f>[1]Calc!$E$42/[1]Calc!$E$47</f>
        <v>#DIV/0!</v>
      </c>
      <c r="AS632" s="75"/>
      <c r="AT632" s="76"/>
      <c r="AU632" s="77"/>
      <c r="AV632" s="77"/>
      <c r="AW632" s="30"/>
      <c r="AX632" s="75"/>
      <c r="AY632" s="76"/>
      <c r="AZ632" s="77"/>
      <c r="BA632" s="77"/>
      <c r="BB632" s="9"/>
    </row>
    <row r="633" spans="1:54" ht="17.25" customHeight="1" x14ac:dyDescent="0.35">
      <c r="A633" s="54"/>
      <c r="B633" s="79" t="s">
        <v>172</v>
      </c>
      <c r="C633" s="74" t="s">
        <v>27</v>
      </c>
      <c r="D633" s="75" t="s">
        <v>56</v>
      </c>
      <c r="E633" s="44">
        <v>4.1225994536225805</v>
      </c>
      <c r="F633" s="80">
        <v>38.112254309352586</v>
      </c>
      <c r="G633" s="77">
        <v>157.12155879206182</v>
      </c>
      <c r="H633" s="74"/>
      <c r="I633" s="75" t="s">
        <v>56</v>
      </c>
      <c r="J633" s="76">
        <v>0.19298549380681035</v>
      </c>
      <c r="K633" s="77">
        <v>38.112254309352593</v>
      </c>
      <c r="L633" s="77">
        <v>7.3551122179811461</v>
      </c>
      <c r="M633" s="30"/>
      <c r="N633" s="75" t="s">
        <v>56</v>
      </c>
      <c r="O633" s="76">
        <v>0.82255304333151802</v>
      </c>
      <c r="P633" s="77">
        <v>38.112254309352593</v>
      </c>
      <c r="Q633" s="77">
        <v>31.349350770382738</v>
      </c>
      <c r="R633" s="30"/>
      <c r="S633" s="75" t="s">
        <v>56</v>
      </c>
      <c r="T633" s="76">
        <v>1.0936418913674135</v>
      </c>
      <c r="U633" s="77">
        <v>38.112254309352593</v>
      </c>
      <c r="V633" s="77">
        <v>41.681157887156225</v>
      </c>
      <c r="W633" s="30"/>
      <c r="X633" s="75" t="s">
        <v>56</v>
      </c>
      <c r="Y633" s="76">
        <v>2.0134190251168382</v>
      </c>
      <c r="Z633" s="77">
        <v>38.112254309352593</v>
      </c>
      <c r="AA633" s="77">
        <v>76.735937916541715</v>
      </c>
      <c r="AB633" s="74"/>
      <c r="AC633" s="46">
        <f>[1]Calc!$B$42/[1]Calc!$B$47</f>
        <v>2.2538589566257216E-2</v>
      </c>
      <c r="AD633" s="75"/>
      <c r="AE633" s="44"/>
      <c r="AF633" s="80"/>
      <c r="AG633" s="77">
        <f>AC633*0</f>
        <v>0</v>
      </c>
      <c r="AH633" s="32" t="e">
        <f>[1]Calc!$C$42/[1]Calc!$C$47</f>
        <v>#DIV/0!</v>
      </c>
      <c r="AI633" s="75"/>
      <c r="AJ633" s="44"/>
      <c r="AK633" s="80"/>
      <c r="AL633" s="77"/>
      <c r="AM633" s="32" t="e">
        <f>[1]Calc!$D$42/[1]Calc!$D$47</f>
        <v>#DIV/0!</v>
      </c>
      <c r="AN633" s="75"/>
      <c r="AO633" s="44"/>
      <c r="AP633" s="80"/>
      <c r="AQ633" s="77"/>
      <c r="AR633" s="32" t="e">
        <f>[1]Calc!$E$42/[1]Calc!$E$47</f>
        <v>#DIV/0!</v>
      </c>
      <c r="AS633" s="75"/>
      <c r="AT633" s="76"/>
      <c r="AU633" s="77"/>
      <c r="AV633" s="77"/>
      <c r="AW633" s="30"/>
      <c r="AX633" s="75"/>
      <c r="AY633" s="44"/>
      <c r="AZ633" s="80"/>
      <c r="BA633" s="77">
        <f>AG633+AL633+AQ633+AV633</f>
        <v>0</v>
      </c>
      <c r="BB633" s="9"/>
    </row>
    <row r="634" spans="1:54" ht="17.25" customHeight="1" x14ac:dyDescent="0.35">
      <c r="A634" s="54"/>
      <c r="B634" s="79" t="s">
        <v>173</v>
      </c>
      <c r="C634" s="74" t="s">
        <v>27</v>
      </c>
      <c r="D634" s="75" t="s">
        <v>58</v>
      </c>
      <c r="E634" s="44">
        <v>3.2980795628980637</v>
      </c>
      <c r="F634" s="80">
        <v>76</v>
      </c>
      <c r="G634" s="77">
        <v>250.65404678025286</v>
      </c>
      <c r="H634" s="74"/>
      <c r="I634" s="75" t="s">
        <v>58</v>
      </c>
      <c r="J634" s="76">
        <v>0.15438839504544827</v>
      </c>
      <c r="K634" s="77">
        <v>76</v>
      </c>
      <c r="L634" s="77">
        <v>11.733518023454069</v>
      </c>
      <c r="M634" s="30"/>
      <c r="N634" s="75" t="s">
        <v>58</v>
      </c>
      <c r="O634" s="76">
        <v>0.65804243466521428</v>
      </c>
      <c r="P634" s="77">
        <v>76</v>
      </c>
      <c r="Q634" s="77">
        <v>50.011225034556283</v>
      </c>
      <c r="R634" s="30"/>
      <c r="S634" s="75" t="s">
        <v>58</v>
      </c>
      <c r="T634" s="76">
        <v>0.87491351309393084</v>
      </c>
      <c r="U634" s="77">
        <v>76</v>
      </c>
      <c r="V634" s="77">
        <v>66.493426995138748</v>
      </c>
      <c r="W634" s="30"/>
      <c r="X634" s="75" t="s">
        <v>58</v>
      </c>
      <c r="Y634" s="76">
        <v>1.6107352200934704</v>
      </c>
      <c r="Z634" s="77">
        <v>76</v>
      </c>
      <c r="AA634" s="77">
        <v>122.41587672710375</v>
      </c>
      <c r="AB634" s="74"/>
      <c r="AC634" s="46">
        <f>[1]Calc!$B$42/[1]Calc!$B$47</f>
        <v>2.2538589566257216E-2</v>
      </c>
      <c r="AD634" s="75"/>
      <c r="AE634" s="44"/>
      <c r="AF634" s="80"/>
      <c r="AG634" s="77">
        <f>AC634*0</f>
        <v>0</v>
      </c>
      <c r="AH634" s="32" t="e">
        <f>[1]Calc!$C$42/[1]Calc!$C$47</f>
        <v>#DIV/0!</v>
      </c>
      <c r="AI634" s="75"/>
      <c r="AJ634" s="44"/>
      <c r="AK634" s="80"/>
      <c r="AL634" s="77"/>
      <c r="AM634" s="32" t="e">
        <f>[1]Calc!$D$42/[1]Calc!$D$47</f>
        <v>#DIV/0!</v>
      </c>
      <c r="AN634" s="75"/>
      <c r="AO634" s="44"/>
      <c r="AP634" s="80"/>
      <c r="AQ634" s="77"/>
      <c r="AR634" s="32" t="e">
        <f>[1]Calc!$E$42/[1]Calc!$E$47</f>
        <v>#DIV/0!</v>
      </c>
      <c r="AS634" s="75"/>
      <c r="AT634" s="76"/>
      <c r="AU634" s="77"/>
      <c r="AV634" s="77"/>
      <c r="AW634" s="30"/>
      <c r="AX634" s="75"/>
      <c r="AY634" s="44"/>
      <c r="AZ634" s="80"/>
      <c r="BA634" s="77">
        <f>AG634+AL634+AQ634+AV634</f>
        <v>0</v>
      </c>
      <c r="BB634" s="9"/>
    </row>
    <row r="635" spans="1:54" ht="17.25" customHeight="1" x14ac:dyDescent="0.35">
      <c r="A635" s="54"/>
      <c r="B635" s="73" t="s">
        <v>166</v>
      </c>
      <c r="C635" s="74"/>
      <c r="D635" s="75"/>
      <c r="E635" s="76"/>
      <c r="F635" s="77"/>
      <c r="G635" s="77"/>
      <c r="H635" s="74"/>
      <c r="I635" s="75"/>
      <c r="J635" s="76"/>
      <c r="K635" s="77"/>
      <c r="L635" s="77"/>
      <c r="M635" s="30"/>
      <c r="N635" s="75"/>
      <c r="O635" s="76"/>
      <c r="P635" s="77"/>
      <c r="Q635" s="77"/>
      <c r="R635" s="30"/>
      <c r="S635" s="75"/>
      <c r="T635" s="76"/>
      <c r="U635" s="77"/>
      <c r="V635" s="77"/>
      <c r="W635" s="30"/>
      <c r="X635" s="75"/>
      <c r="Y635" s="76"/>
      <c r="Z635" s="77"/>
      <c r="AA635" s="77"/>
      <c r="AB635" s="74"/>
      <c r="AC635" s="46"/>
      <c r="AD635" s="75"/>
      <c r="AE635" s="44"/>
      <c r="AF635" s="80"/>
      <c r="AG635" s="77"/>
      <c r="AH635" s="32" t="e">
        <f>[1]Calc!$C$42/[1]Calc!$C$47</f>
        <v>#DIV/0!</v>
      </c>
      <c r="AI635" s="75"/>
      <c r="AJ635" s="44"/>
      <c r="AK635" s="80"/>
      <c r="AL635" s="77"/>
      <c r="AM635" s="32" t="e">
        <f>[1]Calc!$D$42/[1]Calc!$D$47</f>
        <v>#DIV/0!</v>
      </c>
      <c r="AN635" s="75"/>
      <c r="AO635" s="44"/>
      <c r="AP635" s="80"/>
      <c r="AQ635" s="77"/>
      <c r="AR635" s="32" t="e">
        <f>[1]Calc!$E$42/[1]Calc!$E$47</f>
        <v>#DIV/0!</v>
      </c>
      <c r="AS635" s="75"/>
      <c r="AT635" s="76"/>
      <c r="AU635" s="77"/>
      <c r="AV635" s="77"/>
      <c r="AW635" s="30"/>
      <c r="AX635" s="75"/>
      <c r="AY635" s="76"/>
      <c r="AZ635" s="77"/>
      <c r="BA635" s="77"/>
      <c r="BB635" s="9"/>
    </row>
    <row r="636" spans="1:54" ht="17.25" customHeight="1" x14ac:dyDescent="0.35">
      <c r="A636" s="54"/>
      <c r="B636" s="79" t="s">
        <v>174</v>
      </c>
      <c r="C636" s="74" t="s">
        <v>27</v>
      </c>
      <c r="D636" s="75" t="s">
        <v>56</v>
      </c>
      <c r="E636" s="44">
        <v>2.7483996357483869</v>
      </c>
      <c r="F636" s="80">
        <v>40</v>
      </c>
      <c r="G636" s="77">
        <v>109.93598542993547</v>
      </c>
      <c r="H636" s="74"/>
      <c r="I636" s="75" t="s">
        <v>56</v>
      </c>
      <c r="J636" s="76">
        <v>0.12865699587120691</v>
      </c>
      <c r="K636" s="77">
        <v>40</v>
      </c>
      <c r="L636" s="77">
        <v>5.1462798348482766</v>
      </c>
      <c r="M636" s="30"/>
      <c r="N636" s="75" t="s">
        <v>56</v>
      </c>
      <c r="O636" s="76">
        <v>0.54836869555434531</v>
      </c>
      <c r="P636" s="77">
        <v>40</v>
      </c>
      <c r="Q636" s="77">
        <v>21.934747822173811</v>
      </c>
      <c r="R636" s="30"/>
      <c r="S636" s="75" t="s">
        <v>56</v>
      </c>
      <c r="T636" s="76">
        <v>0.7290945942449425</v>
      </c>
      <c r="U636" s="77">
        <v>40</v>
      </c>
      <c r="V636" s="77">
        <v>29.1637837697977</v>
      </c>
      <c r="W636" s="30"/>
      <c r="X636" s="75" t="s">
        <v>56</v>
      </c>
      <c r="Y636" s="76">
        <v>1.342279350077892</v>
      </c>
      <c r="Z636" s="77">
        <v>40</v>
      </c>
      <c r="AA636" s="77">
        <v>53.691174003115677</v>
      </c>
      <c r="AB636" s="74"/>
      <c r="AC636" s="46">
        <f>[1]Calc!$B$42/[1]Calc!$B$47</f>
        <v>2.2538589566257216E-2</v>
      </c>
      <c r="AD636" s="75"/>
      <c r="AE636" s="44"/>
      <c r="AF636" s="80"/>
      <c r="AG636" s="77">
        <f>AC636*0</f>
        <v>0</v>
      </c>
      <c r="AH636" s="32" t="e">
        <f>[1]Calc!$C$42/[1]Calc!$C$47</f>
        <v>#DIV/0!</v>
      </c>
      <c r="AI636" s="75"/>
      <c r="AJ636" s="44"/>
      <c r="AK636" s="80"/>
      <c r="AL636" s="77"/>
      <c r="AM636" s="32" t="e">
        <f>[1]Calc!$D$42/[1]Calc!$D$47</f>
        <v>#DIV/0!</v>
      </c>
      <c r="AN636" s="75"/>
      <c r="AO636" s="44"/>
      <c r="AP636" s="80"/>
      <c r="AQ636" s="77"/>
      <c r="AR636" s="32" t="e">
        <f>[1]Calc!$E$42/[1]Calc!$E$47</f>
        <v>#DIV/0!</v>
      </c>
      <c r="AS636" s="75"/>
      <c r="AT636" s="76"/>
      <c r="AU636" s="77"/>
      <c r="AV636" s="77"/>
      <c r="AW636" s="30"/>
      <c r="AX636" s="75"/>
      <c r="AY636" s="44"/>
      <c r="AZ636" s="80"/>
      <c r="BA636" s="77">
        <f>AG636+AL636+AQ636+AV636</f>
        <v>0</v>
      </c>
      <c r="BB636" s="9"/>
    </row>
    <row r="637" spans="1:54" ht="17.25" customHeight="1" x14ac:dyDescent="0.35">
      <c r="A637" s="54"/>
      <c r="B637" s="79" t="s">
        <v>175</v>
      </c>
      <c r="C637" s="74" t="s">
        <v>27</v>
      </c>
      <c r="D637" s="75" t="s">
        <v>58</v>
      </c>
      <c r="E637" s="44">
        <v>2.4735596721735482</v>
      </c>
      <c r="F637" s="80">
        <v>70</v>
      </c>
      <c r="G637" s="77">
        <v>173.14917705214836</v>
      </c>
      <c r="H637" s="74"/>
      <c r="I637" s="75" t="s">
        <v>58</v>
      </c>
      <c r="J637" s="76">
        <v>0.1157912962840862</v>
      </c>
      <c r="K637" s="77">
        <v>70</v>
      </c>
      <c r="L637" s="77">
        <v>8.1053907398860332</v>
      </c>
      <c r="M637" s="30"/>
      <c r="N637" s="75" t="s">
        <v>58</v>
      </c>
      <c r="O637" s="76">
        <v>0.49353182599891082</v>
      </c>
      <c r="P637" s="77">
        <v>70</v>
      </c>
      <c r="Q637" s="77">
        <v>34.547227819923755</v>
      </c>
      <c r="R637" s="30"/>
      <c r="S637" s="75" t="s">
        <v>58</v>
      </c>
      <c r="T637" s="76">
        <v>0.65618513482044816</v>
      </c>
      <c r="U637" s="77">
        <v>70</v>
      </c>
      <c r="V637" s="77">
        <v>45.932959437431371</v>
      </c>
      <c r="W637" s="30"/>
      <c r="X637" s="75" t="s">
        <v>58</v>
      </c>
      <c r="Y637" s="76">
        <v>1.2080514150701029</v>
      </c>
      <c r="Z637" s="77">
        <v>70</v>
      </c>
      <c r="AA637" s="77">
        <v>84.563599054907201</v>
      </c>
      <c r="AB637" s="74"/>
      <c r="AC637" s="46">
        <f>[1]Calc!$B$42/[1]Calc!$B$47</f>
        <v>2.2538589566257216E-2</v>
      </c>
      <c r="AD637" s="75"/>
      <c r="AE637" s="44"/>
      <c r="AF637" s="80"/>
      <c r="AG637" s="77">
        <f>AC637*0</f>
        <v>0</v>
      </c>
      <c r="AH637" s="32" t="e">
        <f>[1]Calc!$C$42/[1]Calc!$C$47</f>
        <v>#DIV/0!</v>
      </c>
      <c r="AI637" s="75"/>
      <c r="AJ637" s="44"/>
      <c r="AK637" s="80"/>
      <c r="AL637" s="77"/>
      <c r="AM637" s="32" t="e">
        <f>[1]Calc!$D$42/[1]Calc!$D$47</f>
        <v>#DIV/0!</v>
      </c>
      <c r="AN637" s="75"/>
      <c r="AO637" s="44"/>
      <c r="AP637" s="80"/>
      <c r="AQ637" s="77"/>
      <c r="AR637" s="32" t="e">
        <f>[1]Calc!$E$42/[1]Calc!$E$47</f>
        <v>#DIV/0!</v>
      </c>
      <c r="AS637" s="75"/>
      <c r="AT637" s="76"/>
      <c r="AU637" s="77"/>
      <c r="AV637" s="77"/>
      <c r="AW637" s="30"/>
      <c r="AX637" s="75"/>
      <c r="AY637" s="44"/>
      <c r="AZ637" s="80"/>
      <c r="BA637" s="77">
        <f>AG637+AL637+AQ637+AV637</f>
        <v>0</v>
      </c>
      <c r="BB637" s="9"/>
    </row>
    <row r="638" spans="1:54" ht="17.25" customHeight="1" x14ac:dyDescent="0.35">
      <c r="A638" s="54"/>
      <c r="B638" s="92"/>
      <c r="C638" s="74"/>
      <c r="D638" s="75"/>
      <c r="E638" s="76"/>
      <c r="F638" s="77"/>
      <c r="G638" s="77"/>
      <c r="H638" s="74"/>
      <c r="I638" s="75"/>
      <c r="J638" s="76"/>
      <c r="K638" s="77"/>
      <c r="L638" s="77"/>
      <c r="M638" s="30"/>
      <c r="N638" s="75"/>
      <c r="O638" s="76"/>
      <c r="P638" s="77"/>
      <c r="Q638" s="77"/>
      <c r="R638" s="30"/>
      <c r="S638" s="75"/>
      <c r="T638" s="76"/>
      <c r="U638" s="77"/>
      <c r="V638" s="77"/>
      <c r="W638" s="30"/>
      <c r="X638" s="75"/>
      <c r="Y638" s="76"/>
      <c r="Z638" s="77"/>
      <c r="AA638" s="77"/>
      <c r="AB638" s="74"/>
      <c r="AC638" s="46"/>
      <c r="AD638" s="75"/>
      <c r="AE638" s="44"/>
      <c r="AF638" s="80"/>
      <c r="AG638" s="77"/>
      <c r="AH638" s="32" t="e">
        <f>[1]Calc!$C$42/[1]Calc!$C$47</f>
        <v>#DIV/0!</v>
      </c>
      <c r="AI638" s="75"/>
      <c r="AJ638" s="44"/>
      <c r="AK638" s="80"/>
      <c r="AL638" s="77"/>
      <c r="AM638" s="32" t="e">
        <f>[1]Calc!$D$42/[1]Calc!$D$47</f>
        <v>#DIV/0!</v>
      </c>
      <c r="AN638" s="75"/>
      <c r="AO638" s="44"/>
      <c r="AP638" s="80"/>
      <c r="AQ638" s="77"/>
      <c r="AR638" s="32" t="e">
        <f>[1]Calc!$E$42/[1]Calc!$E$47</f>
        <v>#DIV/0!</v>
      </c>
      <c r="AS638" s="75"/>
      <c r="AT638" s="76"/>
      <c r="AU638" s="77"/>
      <c r="AV638" s="77"/>
      <c r="AW638" s="30"/>
      <c r="AX638" s="75"/>
      <c r="AY638" s="76"/>
      <c r="AZ638" s="77"/>
      <c r="BA638" s="77"/>
      <c r="BB638" s="9"/>
    </row>
    <row r="639" spans="1:54" ht="17.25" customHeight="1" x14ac:dyDescent="0.35">
      <c r="A639" s="54"/>
      <c r="B639" s="71" t="s">
        <v>176</v>
      </c>
      <c r="C639" s="74"/>
      <c r="D639" s="75"/>
      <c r="E639" s="76"/>
      <c r="F639" s="77"/>
      <c r="G639" s="77"/>
      <c r="H639" s="74"/>
      <c r="I639" s="75" t="s">
        <v>56</v>
      </c>
      <c r="J639" s="76"/>
      <c r="K639" s="77"/>
      <c r="L639" s="77"/>
      <c r="M639" s="30"/>
      <c r="N639" s="75"/>
      <c r="O639" s="76"/>
      <c r="P639" s="77"/>
      <c r="Q639" s="77"/>
      <c r="R639" s="30"/>
      <c r="S639" s="75"/>
      <c r="T639" s="76"/>
      <c r="U639" s="77"/>
      <c r="V639" s="77"/>
      <c r="W639" s="30"/>
      <c r="X639" s="75"/>
      <c r="Y639" s="76"/>
      <c r="Z639" s="77"/>
      <c r="AA639" s="77"/>
      <c r="AB639" s="74"/>
      <c r="AC639" s="46"/>
      <c r="AD639" s="75"/>
      <c r="AE639" s="44"/>
      <c r="AF639" s="80"/>
      <c r="AG639" s="77"/>
      <c r="AH639" s="32" t="e">
        <f>[1]Calc!$C$42/[1]Calc!$C$47</f>
        <v>#DIV/0!</v>
      </c>
      <c r="AI639" s="75"/>
      <c r="AJ639" s="44"/>
      <c r="AK639" s="80"/>
      <c r="AL639" s="77"/>
      <c r="AM639" s="32" t="e">
        <f>[1]Calc!$D$42/[1]Calc!$D$47</f>
        <v>#DIV/0!</v>
      </c>
      <c r="AN639" s="75"/>
      <c r="AO639" s="44"/>
      <c r="AP639" s="80"/>
      <c r="AQ639" s="77"/>
      <c r="AR639" s="32" t="e">
        <f>[1]Calc!$E$42/[1]Calc!$E$47</f>
        <v>#DIV/0!</v>
      </c>
      <c r="AS639" s="75"/>
      <c r="AT639" s="76"/>
      <c r="AU639" s="77"/>
      <c r="AV639" s="77"/>
      <c r="AW639" s="30"/>
      <c r="AX639" s="75"/>
      <c r="AY639" s="76"/>
      <c r="AZ639" s="77"/>
      <c r="BA639" s="77"/>
      <c r="BB639" s="9"/>
    </row>
    <row r="640" spans="1:54" ht="17.25" customHeight="1" x14ac:dyDescent="0.35">
      <c r="A640" s="54"/>
      <c r="B640" s="73" t="s">
        <v>177</v>
      </c>
      <c r="C640" s="74"/>
      <c r="D640" s="75"/>
      <c r="E640" s="76"/>
      <c r="F640" s="77"/>
      <c r="G640" s="77"/>
      <c r="H640" s="74"/>
      <c r="I640" s="75"/>
      <c r="J640" s="76"/>
      <c r="K640" s="77"/>
      <c r="L640" s="77"/>
      <c r="M640" s="30"/>
      <c r="N640" s="75"/>
      <c r="O640" s="76"/>
      <c r="P640" s="77"/>
      <c r="Q640" s="77"/>
      <c r="R640" s="30"/>
      <c r="S640" s="75"/>
      <c r="T640" s="76"/>
      <c r="U640" s="77"/>
      <c r="V640" s="77"/>
      <c r="W640" s="30"/>
      <c r="X640" s="75"/>
      <c r="Y640" s="76"/>
      <c r="Z640" s="77"/>
      <c r="AA640" s="77"/>
      <c r="AB640" s="74"/>
      <c r="AC640" s="46"/>
      <c r="AD640" s="75"/>
      <c r="AE640" s="44"/>
      <c r="AF640" s="80"/>
      <c r="AG640" s="77"/>
      <c r="AH640" s="32" t="e">
        <f>[1]Calc!$C$42/[1]Calc!$C$47</f>
        <v>#DIV/0!</v>
      </c>
      <c r="AI640" s="75"/>
      <c r="AJ640" s="44"/>
      <c r="AK640" s="80"/>
      <c r="AL640" s="77"/>
      <c r="AM640" s="32" t="e">
        <f>[1]Calc!$D$42/[1]Calc!$D$47</f>
        <v>#DIV/0!</v>
      </c>
      <c r="AN640" s="75"/>
      <c r="AO640" s="44"/>
      <c r="AP640" s="80"/>
      <c r="AQ640" s="77"/>
      <c r="AR640" s="32" t="e">
        <f>[1]Calc!$E$42/[1]Calc!$E$47</f>
        <v>#DIV/0!</v>
      </c>
      <c r="AS640" s="75"/>
      <c r="AT640" s="76"/>
      <c r="AU640" s="77"/>
      <c r="AV640" s="77"/>
      <c r="AW640" s="30"/>
      <c r="AX640" s="75"/>
      <c r="AY640" s="76"/>
      <c r="AZ640" s="77"/>
      <c r="BA640" s="77"/>
      <c r="BB640" s="9"/>
    </row>
    <row r="641" spans="1:54" ht="17.25" customHeight="1" x14ac:dyDescent="0.35">
      <c r="A641" s="54"/>
      <c r="B641" s="79" t="s">
        <v>178</v>
      </c>
      <c r="C641" s="74" t="s">
        <v>27</v>
      </c>
      <c r="D641" s="75" t="s">
        <v>56</v>
      </c>
      <c r="E641" s="44">
        <v>16.490397814490322</v>
      </c>
      <c r="F641" s="80">
        <v>19</v>
      </c>
      <c r="G641" s="77">
        <v>313.3175584753161</v>
      </c>
      <c r="H641" s="74"/>
      <c r="I641" s="75" t="s">
        <v>56</v>
      </c>
      <c r="J641" s="76">
        <v>0.77194197522724139</v>
      </c>
      <c r="K641" s="77">
        <v>19</v>
      </c>
      <c r="L641" s="77">
        <v>14.666897529317586</v>
      </c>
      <c r="M641" s="30"/>
      <c r="N641" s="75" t="s">
        <v>56</v>
      </c>
      <c r="O641" s="76">
        <v>3.2902121733260721</v>
      </c>
      <c r="P641" s="77">
        <v>19</v>
      </c>
      <c r="Q641" s="77">
        <v>62.514031293195373</v>
      </c>
      <c r="R641" s="30"/>
      <c r="S641" s="75" t="s">
        <v>56</v>
      </c>
      <c r="T641" s="76">
        <v>4.3745675654696541</v>
      </c>
      <c r="U641" s="77">
        <v>19</v>
      </c>
      <c r="V641" s="77">
        <v>83.116783743923435</v>
      </c>
      <c r="W641" s="30"/>
      <c r="X641" s="75" t="s">
        <v>56</v>
      </c>
      <c r="Y641" s="76">
        <v>8.0536761004673529</v>
      </c>
      <c r="Z641" s="77">
        <v>19</v>
      </c>
      <c r="AA641" s="77">
        <v>153.01984590887972</v>
      </c>
      <c r="AB641" s="74"/>
      <c r="AC641" s="46">
        <f>[1]Calc!$B$42/[1]Calc!$B$47</f>
        <v>2.2538589566257216E-2</v>
      </c>
      <c r="AD641" s="75"/>
      <c r="AE641" s="44"/>
      <c r="AF641" s="80"/>
      <c r="AG641" s="77">
        <f>AC641*3582.859</f>
        <v>80.752588474770761</v>
      </c>
      <c r="AH641" s="32" t="e">
        <f>[1]Calc!$C$42/[1]Calc!$C$47</f>
        <v>#DIV/0!</v>
      </c>
      <c r="AI641" s="75"/>
      <c r="AJ641" s="44"/>
      <c r="AK641" s="80"/>
      <c r="AL641" s="77"/>
      <c r="AM641" s="32" t="e">
        <f>[1]Calc!$D$42/[1]Calc!$D$47</f>
        <v>#DIV/0!</v>
      </c>
      <c r="AN641" s="75"/>
      <c r="AO641" s="44"/>
      <c r="AP641" s="80"/>
      <c r="AQ641" s="77"/>
      <c r="AR641" s="32" t="e">
        <f>[1]Calc!$E$42/[1]Calc!$E$47</f>
        <v>#DIV/0!</v>
      </c>
      <c r="AS641" s="75"/>
      <c r="AT641" s="76"/>
      <c r="AU641" s="77"/>
      <c r="AV641" s="77"/>
      <c r="AW641" s="30"/>
      <c r="AX641" s="75"/>
      <c r="AY641" s="44"/>
      <c r="AZ641" s="80"/>
      <c r="BA641" s="77">
        <f>AG641+AL641+AQ641+AV641</f>
        <v>80.752588474770761</v>
      </c>
      <c r="BB641" s="9"/>
    </row>
    <row r="642" spans="1:54" ht="17.25" customHeight="1" x14ac:dyDescent="0.35">
      <c r="A642" s="54"/>
      <c r="B642" s="79" t="s">
        <v>179</v>
      </c>
      <c r="C642" s="74" t="s">
        <v>27</v>
      </c>
      <c r="D642" s="75" t="s">
        <v>58</v>
      </c>
      <c r="E642" s="44">
        <v>10.993598542993547</v>
      </c>
      <c r="F642" s="80">
        <v>29.999999999999996</v>
      </c>
      <c r="G642" s="77">
        <v>329.80795628980638</v>
      </c>
      <c r="H642" s="74"/>
      <c r="I642" s="75" t="s">
        <v>58</v>
      </c>
      <c r="J642" s="76">
        <v>0.51462798348482763</v>
      </c>
      <c r="K642" s="77">
        <v>30</v>
      </c>
      <c r="L642" s="77">
        <v>15.438839504544829</v>
      </c>
      <c r="M642" s="30"/>
      <c r="N642" s="75" t="s">
        <v>58</v>
      </c>
      <c r="O642" s="76">
        <v>2.1934747822173812</v>
      </c>
      <c r="P642" s="77">
        <v>30</v>
      </c>
      <c r="Q642" s="77">
        <v>65.804243466521442</v>
      </c>
      <c r="R642" s="30"/>
      <c r="S642" s="75" t="s">
        <v>58</v>
      </c>
      <c r="T642" s="76">
        <v>2.91637837697977</v>
      </c>
      <c r="U642" s="77">
        <v>30</v>
      </c>
      <c r="V642" s="77">
        <v>87.491351309393096</v>
      </c>
      <c r="W642" s="30"/>
      <c r="X642" s="75" t="s">
        <v>58</v>
      </c>
      <c r="Y642" s="76">
        <v>5.369117400311568</v>
      </c>
      <c r="Z642" s="77">
        <v>30</v>
      </c>
      <c r="AA642" s="77">
        <v>161.07352200934704</v>
      </c>
      <c r="AB642" s="74"/>
      <c r="AC642" s="46">
        <f>[1]Calc!$B$42/[1]Calc!$B$47</f>
        <v>2.2538589566257216E-2</v>
      </c>
      <c r="AD642" s="75"/>
      <c r="AE642" s="44"/>
      <c r="AF642" s="80"/>
      <c r="AG642" s="77">
        <f>AC642*1932.786</f>
        <v>43.562270373408019</v>
      </c>
      <c r="AH642" s="32" t="e">
        <f>[1]Calc!$C$42/[1]Calc!$C$47</f>
        <v>#DIV/0!</v>
      </c>
      <c r="AI642" s="75"/>
      <c r="AJ642" s="44"/>
      <c r="AK642" s="80"/>
      <c r="AL642" s="77"/>
      <c r="AM642" s="32" t="e">
        <f>[1]Calc!$D$42/[1]Calc!$D$47</f>
        <v>#DIV/0!</v>
      </c>
      <c r="AN642" s="75"/>
      <c r="AO642" s="44"/>
      <c r="AP642" s="80"/>
      <c r="AQ642" s="77"/>
      <c r="AR642" s="32" t="e">
        <f>[1]Calc!$E$42/[1]Calc!$E$47</f>
        <v>#DIV/0!</v>
      </c>
      <c r="AS642" s="75"/>
      <c r="AT642" s="76"/>
      <c r="AU642" s="77"/>
      <c r="AV642" s="77"/>
      <c r="AW642" s="30"/>
      <c r="AX642" s="75"/>
      <c r="AY642" s="44"/>
      <c r="AZ642" s="80"/>
      <c r="BA642" s="77">
        <f>AG642+AL642+AQ642+AV642</f>
        <v>43.562270373408019</v>
      </c>
      <c r="BB642" s="9"/>
    </row>
    <row r="643" spans="1:54" ht="17.25" customHeight="1" x14ac:dyDescent="0.35">
      <c r="A643" s="54"/>
      <c r="B643" s="73" t="s">
        <v>180</v>
      </c>
      <c r="C643" s="74"/>
      <c r="D643" s="75"/>
      <c r="E643" s="76"/>
      <c r="F643" s="77"/>
      <c r="G643" s="77"/>
      <c r="H643" s="74"/>
      <c r="I643" s="75"/>
      <c r="J643" s="76"/>
      <c r="K643" s="77"/>
      <c r="L643" s="77"/>
      <c r="M643" s="30"/>
      <c r="N643" s="75"/>
      <c r="O643" s="76"/>
      <c r="P643" s="77"/>
      <c r="Q643" s="77"/>
      <c r="R643" s="30"/>
      <c r="S643" s="75"/>
      <c r="T643" s="76"/>
      <c r="U643" s="77"/>
      <c r="V643" s="77"/>
      <c r="W643" s="30"/>
      <c r="X643" s="75"/>
      <c r="Y643" s="76"/>
      <c r="Z643" s="77"/>
      <c r="AA643" s="77"/>
      <c r="AB643" s="74"/>
      <c r="AC643" s="46"/>
      <c r="AD643" s="75"/>
      <c r="AE643" s="44"/>
      <c r="AF643" s="80"/>
      <c r="AG643" s="77"/>
      <c r="AH643" s="32" t="e">
        <f>[1]Calc!$C$42/[1]Calc!$C$47</f>
        <v>#DIV/0!</v>
      </c>
      <c r="AI643" s="75"/>
      <c r="AJ643" s="44"/>
      <c r="AK643" s="80"/>
      <c r="AL643" s="77"/>
      <c r="AM643" s="32" t="e">
        <f>[1]Calc!$D$42/[1]Calc!$D$47</f>
        <v>#DIV/0!</v>
      </c>
      <c r="AN643" s="75"/>
      <c r="AO643" s="44"/>
      <c r="AP643" s="80"/>
      <c r="AQ643" s="77"/>
      <c r="AR643" s="32" t="e">
        <f>[1]Calc!$E$42/[1]Calc!$E$47</f>
        <v>#DIV/0!</v>
      </c>
      <c r="AS643" s="75"/>
      <c r="AT643" s="76"/>
      <c r="AU643" s="77"/>
      <c r="AV643" s="77"/>
      <c r="AW643" s="30"/>
      <c r="AX643" s="75"/>
      <c r="AY643" s="76"/>
      <c r="AZ643" s="77"/>
      <c r="BA643" s="77"/>
      <c r="BB643" s="9"/>
    </row>
    <row r="644" spans="1:54" ht="17.25" customHeight="1" x14ac:dyDescent="0.35">
      <c r="A644" s="54"/>
      <c r="B644" s="92" t="s">
        <v>181</v>
      </c>
      <c r="C644" s="74" t="s">
        <v>27</v>
      </c>
      <c r="D644" s="75" t="s">
        <v>56</v>
      </c>
      <c r="E644" s="44">
        <v>36.278875191878704</v>
      </c>
      <c r="F644" s="80">
        <v>19</v>
      </c>
      <c r="G644" s="77">
        <v>689.29862864569532</v>
      </c>
      <c r="H644" s="74"/>
      <c r="I644" s="75" t="s">
        <v>56</v>
      </c>
      <c r="J644" s="76">
        <v>1.6982723454999309</v>
      </c>
      <c r="K644" s="77">
        <v>19</v>
      </c>
      <c r="L644" s="77">
        <v>32.267174564498688</v>
      </c>
      <c r="M644" s="30"/>
      <c r="N644" s="75" t="s">
        <v>56</v>
      </c>
      <c r="O644" s="76">
        <v>7.2384667813173582</v>
      </c>
      <c r="P644" s="77">
        <v>19</v>
      </c>
      <c r="Q644" s="77">
        <v>137.5308688450298</v>
      </c>
      <c r="R644" s="30"/>
      <c r="S644" s="75" t="s">
        <v>56</v>
      </c>
      <c r="T644" s="76">
        <v>9.6240486440332393</v>
      </c>
      <c r="U644" s="77">
        <v>19</v>
      </c>
      <c r="V644" s="77">
        <v>182.85692423663156</v>
      </c>
      <c r="W644" s="30"/>
      <c r="X644" s="75" t="s">
        <v>56</v>
      </c>
      <c r="Y644" s="76">
        <v>17.718087421028176</v>
      </c>
      <c r="Z644" s="77">
        <v>19</v>
      </c>
      <c r="AA644" s="77">
        <v>336.64366099953537</v>
      </c>
      <c r="AB644" s="74"/>
      <c r="AC644" s="46">
        <f>[1]Calc!$B$42/[1]Calc!$B$47</f>
        <v>2.2538589566257216E-2</v>
      </c>
      <c r="AD644" s="75"/>
      <c r="AE644" s="44"/>
      <c r="AF644" s="80"/>
      <c r="AG644" s="77">
        <f>AC644*1150.982</f>
        <v>25.941510896149861</v>
      </c>
      <c r="AH644" s="32" t="e">
        <f>[1]Calc!$C$42/[1]Calc!$C$47</f>
        <v>#DIV/0!</v>
      </c>
      <c r="AI644" s="75"/>
      <c r="AJ644" s="44"/>
      <c r="AK644" s="80"/>
      <c r="AL644" s="77"/>
      <c r="AM644" s="32" t="e">
        <f>[1]Calc!$D$42/[1]Calc!$D$47</f>
        <v>#DIV/0!</v>
      </c>
      <c r="AN644" s="75"/>
      <c r="AO644" s="44"/>
      <c r="AP644" s="80"/>
      <c r="AQ644" s="77"/>
      <c r="AR644" s="32" t="e">
        <f>[1]Calc!$E$42/[1]Calc!$E$47</f>
        <v>#DIV/0!</v>
      </c>
      <c r="AS644" s="75"/>
      <c r="AT644" s="76"/>
      <c r="AU644" s="77"/>
      <c r="AV644" s="77"/>
      <c r="AW644" s="30"/>
      <c r="AX644" s="75"/>
      <c r="AY644" s="44"/>
      <c r="AZ644" s="80"/>
      <c r="BA644" s="77">
        <f>AG644+AL644+AQ644+AV644</f>
        <v>25.941510896149861</v>
      </c>
      <c r="BB644" s="9"/>
    </row>
    <row r="645" spans="1:54" ht="17.25" customHeight="1" x14ac:dyDescent="0.35">
      <c r="A645" s="54"/>
      <c r="B645" s="92" t="s">
        <v>182</v>
      </c>
      <c r="C645" s="74" t="s">
        <v>27</v>
      </c>
      <c r="D645" s="75" t="s">
        <v>58</v>
      </c>
      <c r="E645" s="44">
        <v>24.1859167945858</v>
      </c>
      <c r="F645" s="80">
        <v>30.000000000000004</v>
      </c>
      <c r="G645" s="77">
        <v>725.57750383757411</v>
      </c>
      <c r="H645" s="74"/>
      <c r="I645" s="75" t="s">
        <v>58</v>
      </c>
      <c r="J645" s="76">
        <v>1.1321815636666206</v>
      </c>
      <c r="K645" s="77">
        <v>30</v>
      </c>
      <c r="L645" s="77">
        <v>33.965446909998619</v>
      </c>
      <c r="M645" s="30"/>
      <c r="N645" s="75" t="s">
        <v>58</v>
      </c>
      <c r="O645" s="76">
        <v>4.8256445208782388</v>
      </c>
      <c r="P645" s="77">
        <v>30</v>
      </c>
      <c r="Q645" s="77">
        <v>144.76933562634716</v>
      </c>
      <c r="R645" s="30"/>
      <c r="S645" s="75" t="s">
        <v>58</v>
      </c>
      <c r="T645" s="76">
        <v>6.4160324293554938</v>
      </c>
      <c r="U645" s="77">
        <v>30</v>
      </c>
      <c r="V645" s="77">
        <v>192.48097288066481</v>
      </c>
      <c r="W645" s="30"/>
      <c r="X645" s="75" t="s">
        <v>58</v>
      </c>
      <c r="Y645" s="76">
        <v>11.81205828068545</v>
      </c>
      <c r="Z645" s="77">
        <v>30</v>
      </c>
      <c r="AA645" s="77">
        <v>354.36174842056352</v>
      </c>
      <c r="AB645" s="74"/>
      <c r="AC645" s="46">
        <f>[1]Calc!$B$42/[1]Calc!$B$47</f>
        <v>2.2538589566257216E-2</v>
      </c>
      <c r="AD645" s="75"/>
      <c r="AE645" s="44"/>
      <c r="AF645" s="80"/>
      <c r="AG645" s="77">
        <f>AC645*1607.584</f>
        <v>36.232675969282042</v>
      </c>
      <c r="AH645" s="32" t="e">
        <f>[1]Calc!$C$42/[1]Calc!$C$47</f>
        <v>#DIV/0!</v>
      </c>
      <c r="AI645" s="75"/>
      <c r="AJ645" s="44"/>
      <c r="AK645" s="80"/>
      <c r="AL645" s="77"/>
      <c r="AM645" s="32" t="e">
        <f>[1]Calc!$D$42/[1]Calc!$D$47</f>
        <v>#DIV/0!</v>
      </c>
      <c r="AN645" s="75"/>
      <c r="AO645" s="44"/>
      <c r="AP645" s="80"/>
      <c r="AQ645" s="77"/>
      <c r="AR645" s="32" t="e">
        <f>[1]Calc!$E$42/[1]Calc!$E$47</f>
        <v>#DIV/0!</v>
      </c>
      <c r="AS645" s="75"/>
      <c r="AT645" s="76"/>
      <c r="AU645" s="77"/>
      <c r="AV645" s="77"/>
      <c r="AW645" s="30"/>
      <c r="AX645" s="75"/>
      <c r="AY645" s="44"/>
      <c r="AZ645" s="80"/>
      <c r="BA645" s="77">
        <f>AG645+AL645+AQ645+AV645</f>
        <v>36.232675969282042</v>
      </c>
      <c r="BB645" s="9"/>
    </row>
    <row r="646" spans="1:54" ht="17.25" customHeight="1" x14ac:dyDescent="0.35">
      <c r="A646" s="54"/>
      <c r="B646" s="55"/>
      <c r="C646" s="42"/>
      <c r="D646" s="43"/>
      <c r="E646" s="44"/>
      <c r="F646" s="89"/>
      <c r="G646" s="77"/>
      <c r="H646" s="42"/>
      <c r="I646" s="43"/>
      <c r="J646" s="44"/>
      <c r="K646" s="89"/>
      <c r="L646" s="77"/>
      <c r="M646" s="30"/>
      <c r="N646" s="43"/>
      <c r="O646" s="44"/>
      <c r="P646" s="89"/>
      <c r="Q646" s="77"/>
      <c r="R646" s="30"/>
      <c r="S646" s="43"/>
      <c r="T646" s="44"/>
      <c r="U646" s="89"/>
      <c r="V646" s="77"/>
      <c r="W646" s="30"/>
      <c r="X646" s="43"/>
      <c r="Y646" s="44"/>
      <c r="Z646" s="89"/>
      <c r="AA646" s="77"/>
      <c r="AB646" s="42"/>
      <c r="AC646" s="46"/>
      <c r="AD646" s="75"/>
      <c r="AE646" s="44"/>
      <c r="AF646" s="80"/>
      <c r="AG646" s="77"/>
      <c r="AH646" s="32" t="e">
        <f>[1]Calc!$C$42/[1]Calc!$C$47</f>
        <v>#DIV/0!</v>
      </c>
      <c r="AI646" s="75"/>
      <c r="AJ646" s="44"/>
      <c r="AK646" s="80"/>
      <c r="AL646" s="77"/>
      <c r="AM646" s="32" t="e">
        <f>[1]Calc!$D$42/[1]Calc!$D$47</f>
        <v>#DIV/0!</v>
      </c>
      <c r="AN646" s="75"/>
      <c r="AO646" s="44"/>
      <c r="AP646" s="80"/>
      <c r="AQ646" s="77"/>
      <c r="AR646" s="32" t="e">
        <f>[1]Calc!$E$42/[1]Calc!$E$47</f>
        <v>#DIV/0!</v>
      </c>
      <c r="AS646" s="43"/>
      <c r="AT646" s="44"/>
      <c r="AU646" s="89"/>
      <c r="AV646" s="77"/>
      <c r="AW646" s="30"/>
      <c r="AX646" s="43"/>
      <c r="AY646" s="44"/>
      <c r="AZ646" s="89"/>
      <c r="BA646" s="77"/>
      <c r="BB646" s="9"/>
    </row>
    <row r="647" spans="1:54" ht="31.5" customHeight="1" x14ac:dyDescent="0.35">
      <c r="A647" s="54"/>
      <c r="B647" s="180" t="s">
        <v>183</v>
      </c>
      <c r="C647" s="42"/>
      <c r="D647" s="43"/>
      <c r="E647" s="44"/>
      <c r="F647" s="89"/>
      <c r="G647" s="77"/>
      <c r="H647" s="42"/>
      <c r="I647" s="43"/>
      <c r="J647" s="44"/>
      <c r="K647" s="89"/>
      <c r="L647" s="77"/>
      <c r="M647" s="30"/>
      <c r="N647" s="43"/>
      <c r="O647" s="44"/>
      <c r="P647" s="89"/>
      <c r="Q647" s="77"/>
      <c r="R647" s="30"/>
      <c r="S647" s="43"/>
      <c r="T647" s="44"/>
      <c r="U647" s="89"/>
      <c r="V647" s="77"/>
      <c r="W647" s="30"/>
      <c r="X647" s="43"/>
      <c r="Y647" s="44"/>
      <c r="Z647" s="89"/>
      <c r="AA647" s="77"/>
      <c r="AB647" s="42"/>
      <c r="AC647" s="46"/>
      <c r="AD647" s="75"/>
      <c r="AE647" s="44"/>
      <c r="AF647" s="80"/>
      <c r="AG647" s="77"/>
      <c r="AH647" s="32" t="e">
        <f>[1]Calc!$C$42/[1]Calc!$C$47</f>
        <v>#DIV/0!</v>
      </c>
      <c r="AI647" s="75"/>
      <c r="AJ647" s="44"/>
      <c r="AK647" s="80"/>
      <c r="AL647" s="77"/>
      <c r="AM647" s="32" t="e">
        <f>[1]Calc!$D$42/[1]Calc!$D$47</f>
        <v>#DIV/0!</v>
      </c>
      <c r="AN647" s="75"/>
      <c r="AO647" s="44"/>
      <c r="AP647" s="80"/>
      <c r="AQ647" s="77"/>
      <c r="AR647" s="32" t="e">
        <f>[1]Calc!$E$42/[1]Calc!$E$47</f>
        <v>#DIV/0!</v>
      </c>
      <c r="AS647" s="43"/>
      <c r="AT647" s="44"/>
      <c r="AU647" s="89"/>
      <c r="AV647" s="77"/>
      <c r="AW647" s="30"/>
      <c r="AX647" s="43"/>
      <c r="AY647" s="44"/>
      <c r="AZ647" s="89"/>
      <c r="BA647" s="77"/>
      <c r="BB647" s="9"/>
    </row>
    <row r="648" spans="1:54" ht="17.25" customHeight="1" x14ac:dyDescent="0.35">
      <c r="A648" s="54"/>
      <c r="B648" s="55"/>
      <c r="C648" s="42"/>
      <c r="D648" s="43"/>
      <c r="E648" s="44"/>
      <c r="F648" s="89"/>
      <c r="G648" s="77"/>
      <c r="H648" s="42"/>
      <c r="I648" s="43"/>
      <c r="J648" s="44"/>
      <c r="K648" s="89"/>
      <c r="L648" s="77"/>
      <c r="M648" s="30"/>
      <c r="N648" s="43"/>
      <c r="O648" s="44"/>
      <c r="P648" s="89"/>
      <c r="Q648" s="77"/>
      <c r="R648" s="30"/>
      <c r="S648" s="43"/>
      <c r="T648" s="44"/>
      <c r="U648" s="89"/>
      <c r="V648" s="77"/>
      <c r="W648" s="30"/>
      <c r="X648" s="43"/>
      <c r="Y648" s="44"/>
      <c r="Z648" s="89"/>
      <c r="AA648" s="77"/>
      <c r="AB648" s="42"/>
      <c r="AC648" s="46"/>
      <c r="AD648" s="75"/>
      <c r="AE648" s="44"/>
      <c r="AF648" s="80"/>
      <c r="AG648" s="77"/>
      <c r="AH648" s="32" t="e">
        <f>[1]Calc!$C$42/[1]Calc!$C$47</f>
        <v>#DIV/0!</v>
      </c>
      <c r="AI648" s="75"/>
      <c r="AJ648" s="44"/>
      <c r="AK648" s="80"/>
      <c r="AL648" s="77"/>
      <c r="AM648" s="32" t="e">
        <f>[1]Calc!$D$42/[1]Calc!$D$47</f>
        <v>#DIV/0!</v>
      </c>
      <c r="AN648" s="75"/>
      <c r="AO648" s="44"/>
      <c r="AP648" s="80"/>
      <c r="AQ648" s="77"/>
      <c r="AR648" s="32" t="e">
        <f>[1]Calc!$E$42/[1]Calc!$E$47</f>
        <v>#DIV/0!</v>
      </c>
      <c r="AS648" s="43"/>
      <c r="AT648" s="44"/>
      <c r="AU648" s="89"/>
      <c r="AV648" s="77"/>
      <c r="AW648" s="30"/>
      <c r="AX648" s="43"/>
      <c r="AY648" s="44"/>
      <c r="AZ648" s="89"/>
      <c r="BA648" s="77"/>
      <c r="BB648" s="9"/>
    </row>
    <row r="649" spans="1:54" ht="17.25" customHeight="1" x14ac:dyDescent="0.35">
      <c r="A649" s="54"/>
      <c r="B649" s="181" t="s">
        <v>184</v>
      </c>
      <c r="C649" s="74" t="s">
        <v>27</v>
      </c>
      <c r="D649" s="75" t="s">
        <v>185</v>
      </c>
      <c r="E649" s="44">
        <v>3.8597098761362067E-2</v>
      </c>
      <c r="F649" s="80">
        <v>609.79606894964149</v>
      </c>
      <c r="G649" s="77">
        <v>23.536359097539666</v>
      </c>
      <c r="H649" s="74"/>
      <c r="I649" s="75" t="s">
        <v>185</v>
      </c>
      <c r="J649" s="76">
        <v>3.8597098761362067E-2</v>
      </c>
      <c r="K649" s="89">
        <v>609.79606894964149</v>
      </c>
      <c r="L649" s="77">
        <v>23.536359097539666</v>
      </c>
      <c r="M649" s="30"/>
      <c r="N649" s="75"/>
      <c r="O649" s="76"/>
      <c r="P649" s="89"/>
      <c r="Q649" s="77">
        <v>0</v>
      </c>
      <c r="R649" s="30"/>
      <c r="S649" s="75"/>
      <c r="T649" s="76"/>
      <c r="U649" s="89"/>
      <c r="V649" s="77">
        <v>0</v>
      </c>
      <c r="W649" s="30"/>
      <c r="X649" s="75"/>
      <c r="Y649" s="76"/>
      <c r="Z649" s="89"/>
      <c r="AA649" s="77">
        <v>0</v>
      </c>
      <c r="AB649" s="74"/>
      <c r="AC649" s="46">
        <f>[1]Calc!$B$42/[1]Calc!$B$47</f>
        <v>2.2538589566257216E-2</v>
      </c>
      <c r="AD649" s="75"/>
      <c r="AE649" s="44"/>
      <c r="AF649" s="80"/>
      <c r="AG649" s="77">
        <f>AC649*646.081</f>
        <v>14.561754485557028</v>
      </c>
      <c r="AH649" s="32" t="e">
        <f>[1]Calc!$C$42/[1]Calc!$C$47</f>
        <v>#DIV/0!</v>
      </c>
      <c r="AI649" s="75"/>
      <c r="AJ649" s="44"/>
      <c r="AK649" s="80"/>
      <c r="AL649" s="77"/>
      <c r="AM649" s="32" t="e">
        <f>[1]Calc!$D$42/[1]Calc!$D$47</f>
        <v>#DIV/0!</v>
      </c>
      <c r="AN649" s="75"/>
      <c r="AO649" s="44"/>
      <c r="AP649" s="80"/>
      <c r="AQ649" s="77"/>
      <c r="AR649" s="32" t="e">
        <f>[1]Calc!$E$42/[1]Calc!$E$47</f>
        <v>#DIV/0!</v>
      </c>
      <c r="AS649" s="75"/>
      <c r="AT649" s="76"/>
      <c r="AU649" s="89"/>
      <c r="AV649" s="77"/>
      <c r="AW649" s="30"/>
      <c r="AX649" s="75"/>
      <c r="AY649" s="44"/>
      <c r="AZ649" s="80"/>
      <c r="BA649" s="77">
        <f t="shared" ref="BA649:BA655" si="23">AG649+AL649+AQ649+AV649</f>
        <v>14.561754485557028</v>
      </c>
      <c r="BB649" s="9"/>
    </row>
    <row r="650" spans="1:54" ht="17.25" customHeight="1" x14ac:dyDescent="0.35">
      <c r="A650" s="54"/>
      <c r="B650" s="182" t="s">
        <v>186</v>
      </c>
      <c r="C650" s="74" t="s">
        <v>27</v>
      </c>
      <c r="D650" s="75" t="s">
        <v>187</v>
      </c>
      <c r="E650" s="44">
        <v>3.8597098761362067E-2</v>
      </c>
      <c r="F650" s="80">
        <v>609.79606894964149</v>
      </c>
      <c r="G650" s="77">
        <v>23.536359097539666</v>
      </c>
      <c r="H650" s="74"/>
      <c r="I650" s="75" t="s">
        <v>187</v>
      </c>
      <c r="J650" s="76">
        <v>3.8597098761362067E-2</v>
      </c>
      <c r="K650" s="89">
        <v>609.79606894964149</v>
      </c>
      <c r="L650" s="77">
        <v>23.536359097539666</v>
      </c>
      <c r="M650" s="30"/>
      <c r="N650" s="75"/>
      <c r="O650" s="76"/>
      <c r="P650" s="89"/>
      <c r="Q650" s="77">
        <v>0</v>
      </c>
      <c r="R650" s="30"/>
      <c r="S650" s="75"/>
      <c r="T650" s="76"/>
      <c r="U650" s="89"/>
      <c r="V650" s="77">
        <v>0</v>
      </c>
      <c r="W650" s="30"/>
      <c r="X650" s="75"/>
      <c r="Y650" s="76"/>
      <c r="Z650" s="89"/>
      <c r="AA650" s="77">
        <v>0</v>
      </c>
      <c r="AB650" s="74"/>
      <c r="AC650" s="46">
        <f>[1]Calc!$B$42/[1]Calc!$B$47</f>
        <v>2.2538589566257216E-2</v>
      </c>
      <c r="AD650" s="75"/>
      <c r="AE650" s="44"/>
      <c r="AF650" s="80"/>
      <c r="AG650" s="77">
        <f>AC650*3950.724</f>
        <v>89.043746725561974</v>
      </c>
      <c r="AH650" s="32" t="e">
        <f>[1]Calc!$C$42/[1]Calc!$C$47</f>
        <v>#DIV/0!</v>
      </c>
      <c r="AI650" s="75"/>
      <c r="AJ650" s="44"/>
      <c r="AK650" s="80"/>
      <c r="AL650" s="77"/>
      <c r="AM650" s="32" t="e">
        <f>[1]Calc!$D$42/[1]Calc!$D$47</f>
        <v>#DIV/0!</v>
      </c>
      <c r="AN650" s="75"/>
      <c r="AO650" s="44"/>
      <c r="AP650" s="80"/>
      <c r="AQ650" s="77"/>
      <c r="AR650" s="32" t="e">
        <f>[1]Calc!$E$42/[1]Calc!$E$47</f>
        <v>#DIV/0!</v>
      </c>
      <c r="AS650" s="75"/>
      <c r="AT650" s="76"/>
      <c r="AU650" s="89"/>
      <c r="AV650" s="77"/>
      <c r="AW650" s="30"/>
      <c r="AX650" s="75"/>
      <c r="AY650" s="44"/>
      <c r="AZ650" s="80"/>
      <c r="BA650" s="77">
        <f t="shared" si="23"/>
        <v>89.043746725561974</v>
      </c>
      <c r="BB650" s="9"/>
    </row>
    <row r="651" spans="1:54" ht="17.25" customHeight="1" x14ac:dyDescent="0.35">
      <c r="A651" s="54"/>
      <c r="B651" s="181" t="s">
        <v>188</v>
      </c>
      <c r="C651" s="74" t="s">
        <v>27</v>
      </c>
      <c r="D651" s="75" t="s">
        <v>189</v>
      </c>
      <c r="E651" s="44">
        <v>1.286569958712069E-2</v>
      </c>
      <c r="F651" s="80">
        <v>4263.9803447482072</v>
      </c>
      <c r="G651" s="77">
        <v>54.859090160917745</v>
      </c>
      <c r="H651" s="74"/>
      <c r="I651" s="75" t="s">
        <v>189</v>
      </c>
      <c r="J651" s="76">
        <v>1.286569958712069E-2</v>
      </c>
      <c r="K651" s="89">
        <v>4263.9803447482072</v>
      </c>
      <c r="L651" s="77">
        <v>54.859090160917745</v>
      </c>
      <c r="M651" s="30"/>
      <c r="N651" s="75"/>
      <c r="O651" s="76"/>
      <c r="P651" s="89"/>
      <c r="Q651" s="77">
        <v>0</v>
      </c>
      <c r="R651" s="30"/>
      <c r="S651" s="75"/>
      <c r="T651" s="76"/>
      <c r="U651" s="89"/>
      <c r="V651" s="77">
        <v>0</v>
      </c>
      <c r="W651" s="30"/>
      <c r="X651" s="75"/>
      <c r="Y651" s="76"/>
      <c r="Z651" s="89"/>
      <c r="AA651" s="77">
        <v>0</v>
      </c>
      <c r="AB651" s="74"/>
      <c r="AC651" s="46">
        <f>[1]Calc!$B$42/[1]Calc!$B$47</f>
        <v>2.2538589566257216E-2</v>
      </c>
      <c r="AD651" s="75"/>
      <c r="AE651" s="44"/>
      <c r="AF651" s="80"/>
      <c r="AG651" s="77">
        <f>AC651*4114.531</f>
        <v>92.735725466641867</v>
      </c>
      <c r="AH651" s="32" t="e">
        <f>[1]Calc!$C$42/[1]Calc!$C$47</f>
        <v>#DIV/0!</v>
      </c>
      <c r="AI651" s="75"/>
      <c r="AJ651" s="44"/>
      <c r="AK651" s="80"/>
      <c r="AL651" s="77"/>
      <c r="AM651" s="32" t="e">
        <f>[1]Calc!$D$42/[1]Calc!$D$47</f>
        <v>#DIV/0!</v>
      </c>
      <c r="AN651" s="75"/>
      <c r="AO651" s="44"/>
      <c r="AP651" s="80"/>
      <c r="AQ651" s="77"/>
      <c r="AR651" s="32" t="e">
        <f>[1]Calc!$E$42/[1]Calc!$E$47</f>
        <v>#DIV/0!</v>
      </c>
      <c r="AS651" s="75"/>
      <c r="AT651" s="76"/>
      <c r="AU651" s="89"/>
      <c r="AV651" s="77"/>
      <c r="AW651" s="30"/>
      <c r="AX651" s="75"/>
      <c r="AY651" s="44"/>
      <c r="AZ651" s="80"/>
      <c r="BA651" s="77">
        <f t="shared" si="23"/>
        <v>92.735725466641867</v>
      </c>
      <c r="BB651" s="9"/>
    </row>
    <row r="652" spans="1:54" ht="17.25" customHeight="1" x14ac:dyDescent="0.35">
      <c r="A652" s="54"/>
      <c r="B652" s="181" t="s">
        <v>190</v>
      </c>
      <c r="C652" s="74" t="s">
        <v>27</v>
      </c>
      <c r="D652" s="75" t="s">
        <v>189</v>
      </c>
      <c r="E652" s="44">
        <v>1.286569958712069E-2</v>
      </c>
      <c r="F652" s="80">
        <v>6097.9606894964154</v>
      </c>
      <c r="G652" s="77">
        <v>78.454530325132225</v>
      </c>
      <c r="H652" s="74"/>
      <c r="I652" s="75" t="s">
        <v>189</v>
      </c>
      <c r="J652" s="76">
        <v>1.286569958712069E-2</v>
      </c>
      <c r="K652" s="89">
        <v>6097.9606894964154</v>
      </c>
      <c r="L652" s="77">
        <v>78.454530325132225</v>
      </c>
      <c r="M652" s="30"/>
      <c r="N652" s="75"/>
      <c r="O652" s="76"/>
      <c r="P652" s="89"/>
      <c r="Q652" s="77">
        <v>0</v>
      </c>
      <c r="R652" s="30"/>
      <c r="S652" s="75"/>
      <c r="T652" s="76"/>
      <c r="U652" s="89"/>
      <c r="V652" s="77">
        <v>0</v>
      </c>
      <c r="W652" s="30"/>
      <c r="X652" s="75"/>
      <c r="Y652" s="76"/>
      <c r="Z652" s="89"/>
      <c r="AA652" s="77">
        <v>0</v>
      </c>
      <c r="AB652" s="74"/>
      <c r="AC652" s="46">
        <f>[1]Calc!$B$42/[1]Calc!$B$47</f>
        <v>2.2538589566257216E-2</v>
      </c>
      <c r="AD652" s="75"/>
      <c r="AE652" s="44"/>
      <c r="AF652" s="80"/>
      <c r="AG652" s="77">
        <f>AC652*6605.755</f>
        <v>148.88440072025145</v>
      </c>
      <c r="AH652" s="32" t="e">
        <f>[1]Calc!$C$42/[1]Calc!$C$47</f>
        <v>#DIV/0!</v>
      </c>
      <c r="AI652" s="75"/>
      <c r="AJ652" s="44"/>
      <c r="AK652" s="80"/>
      <c r="AL652" s="77"/>
      <c r="AM652" s="32" t="e">
        <f>[1]Calc!$D$42/[1]Calc!$D$47</f>
        <v>#DIV/0!</v>
      </c>
      <c r="AN652" s="75"/>
      <c r="AO652" s="44"/>
      <c r="AP652" s="80"/>
      <c r="AQ652" s="77"/>
      <c r="AR652" s="32" t="e">
        <f>[1]Calc!$E$42/[1]Calc!$E$47</f>
        <v>#DIV/0!</v>
      </c>
      <c r="AS652" s="75"/>
      <c r="AT652" s="76"/>
      <c r="AU652" s="89"/>
      <c r="AV652" s="77"/>
      <c r="AW652" s="30"/>
      <c r="AX652" s="75"/>
      <c r="AY652" s="44"/>
      <c r="AZ652" s="80"/>
      <c r="BA652" s="77">
        <f t="shared" si="23"/>
        <v>148.88440072025145</v>
      </c>
      <c r="BB652" s="9"/>
    </row>
    <row r="653" spans="1:54" ht="17.25" customHeight="1" x14ac:dyDescent="0.35">
      <c r="A653" s="54"/>
      <c r="B653" s="181" t="s">
        <v>191</v>
      </c>
      <c r="C653" s="74" t="s">
        <v>27</v>
      </c>
      <c r="D653" s="75" t="s">
        <v>192</v>
      </c>
      <c r="E653" s="44">
        <v>1.286569958712069E-2</v>
      </c>
      <c r="F653" s="80">
        <v>4573.4705171223113</v>
      </c>
      <c r="G653" s="77">
        <v>58.840897743849169</v>
      </c>
      <c r="H653" s="74"/>
      <c r="I653" s="75" t="s">
        <v>192</v>
      </c>
      <c r="J653" s="76">
        <v>1.286569958712069E-2</v>
      </c>
      <c r="K653" s="89">
        <v>4573.4705171223113</v>
      </c>
      <c r="L653" s="77">
        <v>58.840897743849169</v>
      </c>
      <c r="M653" s="30"/>
      <c r="N653" s="75"/>
      <c r="O653" s="76"/>
      <c r="P653" s="89"/>
      <c r="Q653" s="77">
        <v>0</v>
      </c>
      <c r="R653" s="30"/>
      <c r="S653" s="75"/>
      <c r="T653" s="76"/>
      <c r="U653" s="89"/>
      <c r="V653" s="77">
        <v>0</v>
      </c>
      <c r="W653" s="30"/>
      <c r="X653" s="75"/>
      <c r="Y653" s="76"/>
      <c r="Z653" s="89"/>
      <c r="AA653" s="77">
        <v>0</v>
      </c>
      <c r="AB653" s="74"/>
      <c r="AC653" s="46">
        <f>[1]Calc!$B$42/[1]Calc!$B$47</f>
        <v>2.2538589566257216E-2</v>
      </c>
      <c r="AD653" s="75"/>
      <c r="AE653" s="44"/>
      <c r="AF653" s="80"/>
      <c r="AG653" s="77">
        <f>AC653*6202.684</f>
        <v>139.79974888519058</v>
      </c>
      <c r="AH653" s="32" t="e">
        <f>[1]Calc!$C$42/[1]Calc!$C$47</f>
        <v>#DIV/0!</v>
      </c>
      <c r="AI653" s="75"/>
      <c r="AJ653" s="44"/>
      <c r="AK653" s="80"/>
      <c r="AL653" s="77"/>
      <c r="AM653" s="32" t="e">
        <f>[1]Calc!$D$42/[1]Calc!$D$47</f>
        <v>#DIV/0!</v>
      </c>
      <c r="AN653" s="75"/>
      <c r="AO653" s="44"/>
      <c r="AP653" s="80"/>
      <c r="AQ653" s="77"/>
      <c r="AR653" s="32" t="e">
        <f>[1]Calc!$E$42/[1]Calc!$E$47</f>
        <v>#DIV/0!</v>
      </c>
      <c r="AS653" s="75"/>
      <c r="AT653" s="76"/>
      <c r="AU653" s="89"/>
      <c r="AV653" s="77"/>
      <c r="AW653" s="30"/>
      <c r="AX653" s="75"/>
      <c r="AY653" s="44"/>
      <c r="AZ653" s="80"/>
      <c r="BA653" s="77">
        <f t="shared" si="23"/>
        <v>139.79974888519058</v>
      </c>
      <c r="BB653" s="9"/>
    </row>
    <row r="654" spans="1:54" ht="17.25" customHeight="1" x14ac:dyDescent="0.35">
      <c r="A654" s="54"/>
      <c r="B654" s="183" t="s">
        <v>193</v>
      </c>
      <c r="C654" s="87" t="s">
        <v>27</v>
      </c>
      <c r="D654" s="75" t="s">
        <v>194</v>
      </c>
      <c r="E654" s="44">
        <v>0.27483996357483864</v>
      </c>
      <c r="F654" s="80">
        <v>548.81646205467734</v>
      </c>
      <c r="G654" s="77">
        <v>150.83669644037934</v>
      </c>
      <c r="H654" s="87"/>
      <c r="I654" s="75" t="s">
        <v>194</v>
      </c>
      <c r="J654" s="184">
        <v>1.286569958712069E-2</v>
      </c>
      <c r="K654" s="147">
        <v>548.81646205467734</v>
      </c>
      <c r="L654" s="77">
        <v>7.0609077292619</v>
      </c>
      <c r="M654" s="30"/>
      <c r="N654" s="75" t="s">
        <v>194</v>
      </c>
      <c r="O654" s="184">
        <v>5.4836869555434535E-2</v>
      </c>
      <c r="P654" s="147">
        <v>548.81646205467734</v>
      </c>
      <c r="Q654" s="77">
        <v>30.095376739567428</v>
      </c>
      <c r="R654" s="30"/>
      <c r="S654" s="75" t="s">
        <v>194</v>
      </c>
      <c r="T654" s="184">
        <v>7.2909459424494241E-2</v>
      </c>
      <c r="U654" s="147">
        <v>548.81646205467734</v>
      </c>
      <c r="V654" s="77">
        <v>40.013911571669979</v>
      </c>
      <c r="W654" s="30"/>
      <c r="X654" s="75" t="s">
        <v>194</v>
      </c>
      <c r="Y654" s="184">
        <v>0.13422793500778921</v>
      </c>
      <c r="Z654" s="147">
        <v>548.81646205467734</v>
      </c>
      <c r="AA654" s="77">
        <v>73.666500399880036</v>
      </c>
      <c r="AB654" s="87"/>
      <c r="AC654" s="46">
        <f>[1]Calc!$B$42/[1]Calc!$B$47</f>
        <v>2.2538589566257216E-2</v>
      </c>
      <c r="AD654" s="75"/>
      <c r="AE654" s="44"/>
      <c r="AF654" s="80"/>
      <c r="AG654" s="77">
        <f>AC654*304.9</f>
        <v>6.8720159587518248</v>
      </c>
      <c r="AH654" s="32" t="e">
        <f>[1]Calc!$C$42/[1]Calc!$C$47</f>
        <v>#DIV/0!</v>
      </c>
      <c r="AI654" s="75"/>
      <c r="AJ654" s="44"/>
      <c r="AK654" s="80"/>
      <c r="AL654" s="77"/>
      <c r="AM654" s="32" t="e">
        <f>[1]Calc!$D$42/[1]Calc!$D$47</f>
        <v>#DIV/0!</v>
      </c>
      <c r="AN654" s="75"/>
      <c r="AO654" s="44"/>
      <c r="AP654" s="80"/>
      <c r="AQ654" s="77"/>
      <c r="AR654" s="32" t="e">
        <f>[1]Calc!$E$42/[1]Calc!$E$47</f>
        <v>#DIV/0!</v>
      </c>
      <c r="AS654" s="75"/>
      <c r="AT654" s="184"/>
      <c r="AU654" s="147"/>
      <c r="AV654" s="77"/>
      <c r="AW654" s="30"/>
      <c r="AX654" s="75"/>
      <c r="AY654" s="44"/>
      <c r="AZ654" s="80"/>
      <c r="BA654" s="77">
        <f t="shared" si="23"/>
        <v>6.8720159587518248</v>
      </c>
      <c r="BB654" s="9"/>
    </row>
    <row r="655" spans="1:54" ht="17.25" customHeight="1" x14ac:dyDescent="0.35">
      <c r="A655" s="54"/>
      <c r="B655" s="181" t="s">
        <v>195</v>
      </c>
      <c r="C655" s="74" t="s">
        <v>27</v>
      </c>
      <c r="D655" s="75" t="s">
        <v>103</v>
      </c>
      <c r="E655" s="44">
        <v>1.286569958712069E-2</v>
      </c>
      <c r="F655" s="80">
        <v>609.79606894964149</v>
      </c>
      <c r="G655" s="77">
        <v>7.8454530325132223</v>
      </c>
      <c r="H655" s="74"/>
      <c r="I655" s="75" t="s">
        <v>103</v>
      </c>
      <c r="J655" s="76">
        <v>1.286569958712069E-2</v>
      </c>
      <c r="K655" s="89">
        <v>609.79606894964149</v>
      </c>
      <c r="L655" s="77">
        <v>7.8454530325132223</v>
      </c>
      <c r="M655" s="30"/>
      <c r="N655" s="75"/>
      <c r="O655" s="76"/>
      <c r="P655" s="89"/>
      <c r="Q655" s="77">
        <v>0</v>
      </c>
      <c r="R655" s="30"/>
      <c r="S655" s="75"/>
      <c r="T655" s="76"/>
      <c r="U655" s="89"/>
      <c r="V655" s="77">
        <v>0</v>
      </c>
      <c r="W655" s="30"/>
      <c r="X655" s="75"/>
      <c r="Y655" s="76"/>
      <c r="Z655" s="89"/>
      <c r="AA655" s="77">
        <v>0</v>
      </c>
      <c r="AB655" s="74"/>
      <c r="AC655" s="46">
        <f>[1]Calc!$B$42/[1]Calc!$B$47</f>
        <v>2.2538589566257216E-2</v>
      </c>
      <c r="AD655" s="75"/>
      <c r="AE655" s="44"/>
      <c r="AF655" s="80"/>
      <c r="AG655" s="77">
        <f>AC655*3923.298</f>
        <v>88.425603368117791</v>
      </c>
      <c r="AH655" s="32" t="e">
        <f>[1]Calc!$C$42/[1]Calc!$C$47</f>
        <v>#DIV/0!</v>
      </c>
      <c r="AI655" s="75"/>
      <c r="AJ655" s="44"/>
      <c r="AK655" s="80"/>
      <c r="AL655" s="77"/>
      <c r="AM655" s="32" t="e">
        <f>[1]Calc!$D$42/[1]Calc!$D$47</f>
        <v>#DIV/0!</v>
      </c>
      <c r="AN655" s="75"/>
      <c r="AO655" s="44"/>
      <c r="AP655" s="80"/>
      <c r="AQ655" s="77"/>
      <c r="AR655" s="32" t="e">
        <f>[1]Calc!$E$42/[1]Calc!$E$47</f>
        <v>#DIV/0!</v>
      </c>
      <c r="AS655" s="75"/>
      <c r="AT655" s="76"/>
      <c r="AU655" s="89"/>
      <c r="AV655" s="77"/>
      <c r="AW655" s="30"/>
      <c r="AX655" s="75"/>
      <c r="AY655" s="44"/>
      <c r="AZ655" s="80"/>
      <c r="BA655" s="77">
        <f t="shared" si="23"/>
        <v>88.425603368117791</v>
      </c>
      <c r="BB655" s="9"/>
    </row>
    <row r="656" spans="1:54" ht="17.25" customHeight="1" x14ac:dyDescent="0.35">
      <c r="A656" s="54"/>
      <c r="B656" s="55"/>
      <c r="C656" s="42"/>
      <c r="D656" s="43"/>
      <c r="E656" s="44"/>
      <c r="F656" s="89"/>
      <c r="G656" s="89"/>
      <c r="H656" s="42"/>
      <c r="I656" s="43"/>
      <c r="J656" s="44"/>
      <c r="K656" s="89"/>
      <c r="L656" s="89"/>
      <c r="M656" s="30"/>
      <c r="N656" s="43"/>
      <c r="O656" s="44"/>
      <c r="P656" s="89"/>
      <c r="Q656" s="89"/>
      <c r="R656" s="30"/>
      <c r="S656" s="43"/>
      <c r="T656" s="44"/>
      <c r="U656" s="89"/>
      <c r="V656" s="89"/>
      <c r="W656" s="30"/>
      <c r="X656" s="43"/>
      <c r="Y656" s="44"/>
      <c r="Z656" s="89"/>
      <c r="AA656" s="89"/>
      <c r="AB656" s="42"/>
      <c r="AC656" s="46"/>
      <c r="AD656" s="43"/>
      <c r="AE656" s="44"/>
      <c r="AF656" s="89"/>
      <c r="AG656" s="89"/>
      <c r="AH656" s="32"/>
      <c r="AI656" s="43"/>
      <c r="AJ656" s="44"/>
      <c r="AK656" s="89"/>
      <c r="AL656" s="89"/>
      <c r="AM656" s="32"/>
      <c r="AN656" s="43"/>
      <c r="AO656" s="44"/>
      <c r="AP656" s="89"/>
      <c r="AQ656" s="89"/>
      <c r="AR656" s="32"/>
      <c r="AS656" s="43"/>
      <c r="AT656" s="44"/>
      <c r="AU656" s="89"/>
      <c r="AV656" s="89"/>
      <c r="AW656" s="30"/>
      <c r="AX656" s="43"/>
      <c r="AY656" s="44"/>
      <c r="AZ656" s="89"/>
      <c r="BA656" s="89"/>
      <c r="BB656" s="9"/>
    </row>
    <row r="657" spans="1:54" ht="18.75" customHeight="1" x14ac:dyDescent="0.35">
      <c r="A657" s="54"/>
      <c r="B657" s="55" t="s">
        <v>196</v>
      </c>
      <c r="C657" s="42"/>
      <c r="D657" s="43"/>
      <c r="E657" s="44"/>
      <c r="F657" s="89"/>
      <c r="G657" s="89"/>
      <c r="H657" s="42"/>
      <c r="I657" s="43"/>
      <c r="J657" s="44"/>
      <c r="K657" s="89"/>
      <c r="L657" s="89"/>
      <c r="M657" s="30"/>
      <c r="N657" s="43"/>
      <c r="O657" s="44"/>
      <c r="P657" s="89"/>
      <c r="Q657" s="89"/>
      <c r="R657" s="30"/>
      <c r="S657" s="43"/>
      <c r="T657" s="44"/>
      <c r="U657" s="89"/>
      <c r="V657" s="89"/>
      <c r="W657" s="30"/>
      <c r="X657" s="43"/>
      <c r="Y657" s="44"/>
      <c r="Z657" s="89"/>
      <c r="AA657" s="89"/>
      <c r="AB657" s="42"/>
      <c r="AC657" s="46"/>
      <c r="AD657" s="43"/>
      <c r="AE657" s="44"/>
      <c r="AF657" s="89"/>
      <c r="AG657" s="89"/>
      <c r="AH657" s="32"/>
      <c r="AI657" s="43"/>
      <c r="AJ657" s="44"/>
      <c r="AK657" s="89"/>
      <c r="AL657" s="89"/>
      <c r="AM657" s="32"/>
      <c r="AN657" s="43"/>
      <c r="AO657" s="44"/>
      <c r="AP657" s="89"/>
      <c r="AQ657" s="89"/>
      <c r="AR657" s="32"/>
      <c r="AS657" s="43"/>
      <c r="AT657" s="44"/>
      <c r="AU657" s="89"/>
      <c r="AV657" s="89"/>
      <c r="AW657" s="30"/>
      <c r="AX657" s="43"/>
      <c r="AY657" s="44"/>
      <c r="AZ657" s="89"/>
      <c r="BA657" s="89"/>
      <c r="BB657" s="9"/>
    </row>
    <row r="658" spans="1:54" ht="29" x14ac:dyDescent="0.35">
      <c r="A658" s="54" t="s">
        <v>389</v>
      </c>
      <c r="B658" s="180" t="s">
        <v>390</v>
      </c>
      <c r="C658" s="33"/>
      <c r="D658" s="43"/>
      <c r="E658" s="44"/>
      <c r="F658" s="56"/>
      <c r="G658" s="56"/>
      <c r="H658" s="33"/>
      <c r="I658" s="43"/>
      <c r="J658" s="44"/>
      <c r="K658" s="56"/>
      <c r="L658" s="56"/>
      <c r="M658" s="30"/>
      <c r="N658" s="43"/>
      <c r="O658" s="44"/>
      <c r="P658" s="56"/>
      <c r="Q658" s="56"/>
      <c r="R658" s="30"/>
      <c r="S658" s="43"/>
      <c r="T658" s="44"/>
      <c r="U658" s="56"/>
      <c r="V658" s="56"/>
      <c r="W658" s="30"/>
      <c r="X658" s="43"/>
      <c r="Y658" s="44"/>
      <c r="Z658" s="56"/>
      <c r="AA658" s="56"/>
      <c r="AB658" s="33"/>
      <c r="AC658" s="185"/>
      <c r="AD658" s="43"/>
      <c r="AE658" s="44"/>
      <c r="AF658" s="56"/>
      <c r="AG658" s="56"/>
      <c r="AH658" s="32"/>
      <c r="AI658" s="43"/>
      <c r="AJ658" s="44"/>
      <c r="AK658" s="56"/>
      <c r="AL658" s="56"/>
      <c r="AM658" s="32"/>
      <c r="AN658" s="43"/>
      <c r="AO658" s="44"/>
      <c r="AP658" s="56"/>
      <c r="AQ658" s="56"/>
      <c r="AR658" s="32"/>
      <c r="AS658" s="43"/>
      <c r="AT658" s="44"/>
      <c r="AU658" s="56"/>
      <c r="AV658" s="56"/>
      <c r="AW658" s="30"/>
      <c r="AX658" s="43"/>
      <c r="AY658" s="44"/>
      <c r="AZ658" s="56"/>
      <c r="BA658" s="56">
        <f t="shared" ref="BA658:BA699" si="24">AG658+AL658+AQ658+AV658</f>
        <v>0</v>
      </c>
      <c r="BB658" s="9"/>
    </row>
    <row r="659" spans="1:54" ht="58" x14ac:dyDescent="0.35">
      <c r="A659" s="54"/>
      <c r="B659" s="342" t="s">
        <v>391</v>
      </c>
      <c r="C659" s="189"/>
      <c r="D659" s="190"/>
      <c r="E659" s="273"/>
      <c r="F659" s="192"/>
      <c r="G659" s="193">
        <f>SUM(G662:G663)</f>
        <v>1529.825887977413</v>
      </c>
      <c r="H659" s="189"/>
      <c r="I659" s="190"/>
      <c r="J659" s="273"/>
      <c r="K659" s="192"/>
      <c r="L659" s="193">
        <f>SUM(L662:L663)</f>
        <v>1529.825887977413</v>
      </c>
      <c r="M659" s="194"/>
      <c r="N659" s="190"/>
      <c r="O659" s="273"/>
      <c r="P659" s="192"/>
      <c r="Q659" s="193">
        <f>SUM(Q662:Q663)</f>
        <v>0</v>
      </c>
      <c r="R659" s="194"/>
      <c r="S659" s="190"/>
      <c r="T659" s="273"/>
      <c r="U659" s="192"/>
      <c r="V659" s="193">
        <f>SUM(V662:V663)</f>
        <v>0</v>
      </c>
      <c r="W659" s="194"/>
      <c r="X659" s="190"/>
      <c r="Y659" s="273"/>
      <c r="Z659" s="192"/>
      <c r="AA659" s="193">
        <f>SUM(AA662:AA663)</f>
        <v>0</v>
      </c>
      <c r="AB659" s="189"/>
      <c r="AC659" s="195"/>
      <c r="AD659" s="190"/>
      <c r="AE659" s="273"/>
      <c r="AF659" s="192"/>
      <c r="AG659" s="193">
        <v>0</v>
      </c>
      <c r="AH659" s="196"/>
      <c r="AI659" s="190"/>
      <c r="AJ659" s="273"/>
      <c r="AK659" s="192"/>
      <c r="AL659" s="193"/>
      <c r="AM659" s="196"/>
      <c r="AN659" s="190"/>
      <c r="AO659" s="273"/>
      <c r="AP659" s="192"/>
      <c r="AQ659" s="193"/>
      <c r="AR659" s="196"/>
      <c r="AS659" s="190"/>
      <c r="AT659" s="273"/>
      <c r="AU659" s="192"/>
      <c r="AV659" s="193"/>
      <c r="AW659" s="194"/>
      <c r="AX659" s="190"/>
      <c r="AY659" s="273"/>
      <c r="AZ659" s="192"/>
      <c r="BA659" s="193">
        <f t="shared" si="24"/>
        <v>0</v>
      </c>
      <c r="BB659" s="9"/>
    </row>
    <row r="660" spans="1:54" hidden="1" x14ac:dyDescent="0.35">
      <c r="A660" s="54"/>
      <c r="B660" s="210" t="s">
        <v>202</v>
      </c>
      <c r="C660" s="42"/>
      <c r="D660" s="43"/>
      <c r="E660" s="44"/>
      <c r="F660" s="56"/>
      <c r="G660" s="56"/>
      <c r="H660" s="42"/>
      <c r="I660" s="43"/>
      <c r="J660" s="44"/>
      <c r="K660" s="56"/>
      <c r="L660" s="56"/>
      <c r="M660" s="30"/>
      <c r="N660" s="43"/>
      <c r="O660" s="44"/>
      <c r="P660" s="56"/>
      <c r="Q660" s="56"/>
      <c r="R660" s="30"/>
      <c r="S660" s="43"/>
      <c r="T660" s="44"/>
      <c r="U660" s="56"/>
      <c r="V660" s="56"/>
      <c r="W660" s="30"/>
      <c r="X660" s="43"/>
      <c r="Y660" s="44"/>
      <c r="Z660" s="56"/>
      <c r="AA660" s="56"/>
      <c r="AB660" s="42"/>
      <c r="AC660" s="46"/>
      <c r="AD660" s="43"/>
      <c r="AE660" s="44"/>
      <c r="AF660" s="56"/>
      <c r="AG660" s="56"/>
      <c r="AH660" s="32"/>
      <c r="AI660" s="43"/>
      <c r="AJ660" s="44"/>
      <c r="AK660" s="56"/>
      <c r="AL660" s="56"/>
      <c r="AM660" s="32"/>
      <c r="AN660" s="43"/>
      <c r="AO660" s="44"/>
      <c r="AP660" s="56"/>
      <c r="AQ660" s="56"/>
      <c r="AR660" s="32"/>
      <c r="AS660" s="43"/>
      <c r="AT660" s="44"/>
      <c r="AU660" s="56"/>
      <c r="AV660" s="56"/>
      <c r="AW660" s="30"/>
      <c r="AX660" s="43"/>
      <c r="AY660" s="44"/>
      <c r="AZ660" s="56"/>
      <c r="BA660" s="56">
        <f t="shared" si="24"/>
        <v>0</v>
      </c>
      <c r="BB660" s="9"/>
    </row>
    <row r="661" spans="1:54" hidden="1" x14ac:dyDescent="0.35">
      <c r="A661" s="54"/>
      <c r="B661" s="55" t="s">
        <v>203</v>
      </c>
      <c r="C661" s="42"/>
      <c r="D661" s="43"/>
      <c r="E661" s="44"/>
      <c r="F661" s="56"/>
      <c r="G661" s="56"/>
      <c r="H661" s="42"/>
      <c r="I661" s="43"/>
      <c r="J661" s="44"/>
      <c r="K661" s="56"/>
      <c r="L661" s="56"/>
      <c r="M661" s="30"/>
      <c r="N661" s="43"/>
      <c r="O661" s="44"/>
      <c r="P661" s="56"/>
      <c r="Q661" s="56"/>
      <c r="R661" s="30"/>
      <c r="S661" s="43"/>
      <c r="T661" s="44"/>
      <c r="U661" s="56"/>
      <c r="V661" s="56"/>
      <c r="W661" s="30"/>
      <c r="X661" s="43"/>
      <c r="Y661" s="44"/>
      <c r="Z661" s="56"/>
      <c r="AA661" s="56"/>
      <c r="AB661" s="42"/>
      <c r="AC661" s="46"/>
      <c r="AD661" s="43"/>
      <c r="AE661" s="44"/>
      <c r="AF661" s="56"/>
      <c r="AG661" s="56"/>
      <c r="AH661" s="32"/>
      <c r="AI661" s="43"/>
      <c r="AJ661" s="44"/>
      <c r="AK661" s="56"/>
      <c r="AL661" s="56"/>
      <c r="AM661" s="32"/>
      <c r="AN661" s="43"/>
      <c r="AO661" s="44"/>
      <c r="AP661" s="56"/>
      <c r="AQ661" s="56"/>
      <c r="AR661" s="32"/>
      <c r="AS661" s="43"/>
      <c r="AT661" s="44"/>
      <c r="AU661" s="56"/>
      <c r="AV661" s="56"/>
      <c r="AW661" s="30"/>
      <c r="AX661" s="43"/>
      <c r="AY661" s="44"/>
      <c r="AZ661" s="56"/>
      <c r="BA661" s="56">
        <f t="shared" si="24"/>
        <v>0</v>
      </c>
      <c r="BB661" s="9"/>
    </row>
    <row r="662" spans="1:54" x14ac:dyDescent="0.35">
      <c r="A662" s="54"/>
      <c r="B662" s="174" t="s">
        <v>392</v>
      </c>
      <c r="C662" s="216" t="s">
        <v>27</v>
      </c>
      <c r="D662" s="176" t="s">
        <v>56</v>
      </c>
      <c r="E662" s="197">
        <v>27</v>
      </c>
      <c r="F662" s="177">
        <v>46.496950257410163</v>
      </c>
      <c r="G662" s="177">
        <v>1255.4176569500744</v>
      </c>
      <c r="H662" s="216"/>
      <c r="I662" s="176" t="s">
        <v>56</v>
      </c>
      <c r="J662" s="285">
        <v>27</v>
      </c>
      <c r="K662" s="198">
        <v>46.496950257410163</v>
      </c>
      <c r="L662" s="146">
        <v>1255.4176569500744</v>
      </c>
      <c r="M662" s="178"/>
      <c r="N662" s="176"/>
      <c r="O662" s="285"/>
      <c r="P662" s="307"/>
      <c r="Q662" s="146">
        <v>0</v>
      </c>
      <c r="R662" s="30"/>
      <c r="S662" s="176"/>
      <c r="T662" s="285"/>
      <c r="U662" s="307"/>
      <c r="V662" s="146">
        <v>0</v>
      </c>
      <c r="W662" s="30"/>
      <c r="X662" s="176"/>
      <c r="Y662" s="285"/>
      <c r="Z662" s="307"/>
      <c r="AA662" s="146">
        <v>0</v>
      </c>
      <c r="AB662" s="216"/>
      <c r="AC662" s="218"/>
      <c r="AD662" s="176"/>
      <c r="AE662" s="285"/>
      <c r="AF662" s="198"/>
      <c r="AG662" s="146"/>
      <c r="AH662" s="200"/>
      <c r="AI662" s="176"/>
      <c r="AJ662" s="285"/>
      <c r="AK662" s="307"/>
      <c r="AL662" s="146"/>
      <c r="AM662" s="32"/>
      <c r="AN662" s="176"/>
      <c r="AO662" s="285"/>
      <c r="AP662" s="307"/>
      <c r="AQ662" s="146"/>
      <c r="AR662" s="32"/>
      <c r="AS662" s="176"/>
      <c r="AT662" s="285"/>
      <c r="AU662" s="307"/>
      <c r="AV662" s="146"/>
      <c r="AW662" s="30"/>
      <c r="AX662" s="176"/>
      <c r="AY662" s="197"/>
      <c r="AZ662" s="177"/>
      <c r="BA662" s="56">
        <f t="shared" si="24"/>
        <v>0</v>
      </c>
      <c r="BB662" s="9"/>
    </row>
    <row r="663" spans="1:54" x14ac:dyDescent="0.35">
      <c r="A663" s="54"/>
      <c r="B663" s="55" t="s">
        <v>393</v>
      </c>
      <c r="C663" s="216" t="s">
        <v>27</v>
      </c>
      <c r="D663" s="176" t="s">
        <v>56</v>
      </c>
      <c r="E663" s="197">
        <v>3</v>
      </c>
      <c r="F663" s="177">
        <v>91.469410342446224</v>
      </c>
      <c r="G663" s="177">
        <v>274.40823102733867</v>
      </c>
      <c r="H663" s="216"/>
      <c r="I663" s="176" t="s">
        <v>56</v>
      </c>
      <c r="J663" s="285">
        <v>3</v>
      </c>
      <c r="K663" s="198">
        <v>91.469410342446224</v>
      </c>
      <c r="L663" s="146">
        <v>274.40823102733867</v>
      </c>
      <c r="M663" s="178"/>
      <c r="N663" s="176"/>
      <c r="O663" s="285"/>
      <c r="P663" s="307"/>
      <c r="Q663" s="146">
        <v>0</v>
      </c>
      <c r="R663" s="30"/>
      <c r="S663" s="176"/>
      <c r="T663" s="285"/>
      <c r="U663" s="307"/>
      <c r="V663" s="146">
        <v>0</v>
      </c>
      <c r="W663" s="30"/>
      <c r="X663" s="176"/>
      <c r="Y663" s="285"/>
      <c r="Z663" s="307"/>
      <c r="AA663" s="146">
        <v>0</v>
      </c>
      <c r="AB663" s="216"/>
      <c r="AC663" s="218"/>
      <c r="AD663" s="176"/>
      <c r="AE663" s="285"/>
      <c r="AF663" s="198"/>
      <c r="AG663" s="146"/>
      <c r="AH663" s="200"/>
      <c r="AI663" s="176"/>
      <c r="AJ663" s="285"/>
      <c r="AK663" s="307"/>
      <c r="AL663" s="146"/>
      <c r="AM663" s="32"/>
      <c r="AN663" s="176"/>
      <c r="AO663" s="285"/>
      <c r="AP663" s="307"/>
      <c r="AQ663" s="146"/>
      <c r="AR663" s="32"/>
      <c r="AS663" s="176"/>
      <c r="AT663" s="285"/>
      <c r="AU663" s="307"/>
      <c r="AV663" s="146"/>
      <c r="AW663" s="30"/>
      <c r="AX663" s="176"/>
      <c r="AY663" s="197"/>
      <c r="AZ663" s="177"/>
      <c r="BA663" s="56">
        <f t="shared" si="24"/>
        <v>0</v>
      </c>
      <c r="BB663" s="9"/>
    </row>
    <row r="664" spans="1:54" hidden="1" x14ac:dyDescent="0.35">
      <c r="A664" s="54"/>
      <c r="B664" s="55" t="s">
        <v>211</v>
      </c>
      <c r="C664" s="216"/>
      <c r="D664" s="176"/>
      <c r="E664" s="197">
        <v>0</v>
      </c>
      <c r="F664" s="177">
        <v>0</v>
      </c>
      <c r="G664" s="177">
        <v>0</v>
      </c>
      <c r="H664" s="216"/>
      <c r="I664" s="176"/>
      <c r="J664" s="285"/>
      <c r="K664" s="306"/>
      <c r="L664" s="146"/>
      <c r="M664" s="178"/>
      <c r="N664" s="176"/>
      <c r="O664" s="285"/>
      <c r="P664" s="307"/>
      <c r="Q664" s="146"/>
      <c r="R664" s="30"/>
      <c r="S664" s="176"/>
      <c r="T664" s="285"/>
      <c r="U664" s="307"/>
      <c r="V664" s="146"/>
      <c r="W664" s="30"/>
      <c r="X664" s="176"/>
      <c r="Y664" s="285"/>
      <c r="Z664" s="307"/>
      <c r="AA664" s="146"/>
      <c r="AB664" s="216"/>
      <c r="AC664" s="218"/>
      <c r="AD664" s="176"/>
      <c r="AE664" s="285"/>
      <c r="AF664" s="306"/>
      <c r="AG664" s="146"/>
      <c r="AH664" s="200"/>
      <c r="AI664" s="176"/>
      <c r="AJ664" s="285"/>
      <c r="AK664" s="307"/>
      <c r="AL664" s="146"/>
      <c r="AM664" s="32"/>
      <c r="AN664" s="176"/>
      <c r="AO664" s="285"/>
      <c r="AP664" s="307"/>
      <c r="AQ664" s="146"/>
      <c r="AR664" s="32"/>
      <c r="AS664" s="176"/>
      <c r="AT664" s="285"/>
      <c r="AU664" s="307"/>
      <c r="AV664" s="146"/>
      <c r="AW664" s="30"/>
      <c r="AX664" s="176"/>
      <c r="AY664" s="197"/>
      <c r="AZ664" s="177"/>
      <c r="BA664" s="56">
        <f t="shared" si="24"/>
        <v>0</v>
      </c>
      <c r="BB664" s="9"/>
    </row>
    <row r="665" spans="1:54" hidden="1" x14ac:dyDescent="0.35">
      <c r="A665" s="54"/>
      <c r="B665" s="174" t="s">
        <v>246</v>
      </c>
      <c r="C665" s="216"/>
      <c r="D665" s="176" t="s">
        <v>359</v>
      </c>
      <c r="E665" s="197">
        <v>0</v>
      </c>
      <c r="F665" s="177">
        <v>0</v>
      </c>
      <c r="G665" s="177">
        <v>0</v>
      </c>
      <c r="H665" s="216"/>
      <c r="I665" s="176"/>
      <c r="J665" s="197"/>
      <c r="K665" s="198"/>
      <c r="L665" s="146">
        <v>0</v>
      </c>
      <c r="M665" s="178"/>
      <c r="N665" s="199"/>
      <c r="O665" s="197"/>
      <c r="P665" s="146"/>
      <c r="Q665" s="146"/>
      <c r="R665" s="30"/>
      <c r="S665" s="199"/>
      <c r="T665" s="197"/>
      <c r="U665" s="146"/>
      <c r="V665" s="146"/>
      <c r="W665" s="30"/>
      <c r="X665" s="199"/>
      <c r="Y665" s="197"/>
      <c r="Z665" s="146"/>
      <c r="AA665" s="146"/>
      <c r="AB665" s="216"/>
      <c r="AC665" s="218"/>
      <c r="AD665" s="176"/>
      <c r="AE665" s="197"/>
      <c r="AF665" s="198"/>
      <c r="AG665" s="146"/>
      <c r="AH665" s="200"/>
      <c r="AI665" s="199"/>
      <c r="AJ665" s="197"/>
      <c r="AK665" s="146"/>
      <c r="AL665" s="146"/>
      <c r="AM665" s="32"/>
      <c r="AN665" s="199"/>
      <c r="AO665" s="197"/>
      <c r="AP665" s="146"/>
      <c r="AQ665" s="146"/>
      <c r="AR665" s="32"/>
      <c r="AS665" s="199"/>
      <c r="AT665" s="197"/>
      <c r="AU665" s="146"/>
      <c r="AV665" s="146"/>
      <c r="AW665" s="30"/>
      <c r="AX665" s="176"/>
      <c r="AY665" s="197"/>
      <c r="AZ665" s="177"/>
      <c r="BA665" s="56">
        <f t="shared" si="24"/>
        <v>0</v>
      </c>
      <c r="BB665" s="9"/>
    </row>
    <row r="666" spans="1:54" ht="58" x14ac:dyDescent="0.35">
      <c r="A666" s="54"/>
      <c r="B666" s="342" t="s">
        <v>394</v>
      </c>
      <c r="C666" s="189"/>
      <c r="D666" s="202"/>
      <c r="E666" s="203">
        <v>0</v>
      </c>
      <c r="F666" s="204">
        <v>0</v>
      </c>
      <c r="G666" s="204">
        <f>SUM(G669:G670)</f>
        <v>1529.825887977413</v>
      </c>
      <c r="H666" s="189"/>
      <c r="I666" s="202"/>
      <c r="J666" s="282"/>
      <c r="K666" s="283"/>
      <c r="L666" s="206">
        <f>SUM(L669:L670)</f>
        <v>1529.825887977413</v>
      </c>
      <c r="M666" s="207"/>
      <c r="N666" s="202"/>
      <c r="O666" s="203"/>
      <c r="P666" s="206"/>
      <c r="Q666" s="206">
        <f>SUM(Q669:Q670)</f>
        <v>0</v>
      </c>
      <c r="R666" s="194"/>
      <c r="S666" s="202"/>
      <c r="T666" s="203"/>
      <c r="U666" s="206"/>
      <c r="V666" s="206">
        <f>SUM(V669:V670)</f>
        <v>0</v>
      </c>
      <c r="W666" s="194"/>
      <c r="X666" s="202"/>
      <c r="Y666" s="203"/>
      <c r="Z666" s="206"/>
      <c r="AA666" s="206">
        <f>SUM(AA669:AA670)</f>
        <v>0</v>
      </c>
      <c r="AB666" s="189"/>
      <c r="AC666" s="195"/>
      <c r="AD666" s="202"/>
      <c r="AE666" s="282"/>
      <c r="AF666" s="283"/>
      <c r="AG666" s="206">
        <v>0</v>
      </c>
      <c r="AH666" s="209"/>
      <c r="AI666" s="202"/>
      <c r="AJ666" s="203"/>
      <c r="AK666" s="206"/>
      <c r="AL666" s="206"/>
      <c r="AM666" s="196"/>
      <c r="AN666" s="202"/>
      <c r="AO666" s="203"/>
      <c r="AP666" s="206"/>
      <c r="AQ666" s="206"/>
      <c r="AR666" s="196"/>
      <c r="AS666" s="202"/>
      <c r="AT666" s="203"/>
      <c r="AU666" s="206"/>
      <c r="AV666" s="206"/>
      <c r="AW666" s="194"/>
      <c r="AX666" s="202"/>
      <c r="AY666" s="203"/>
      <c r="AZ666" s="204"/>
      <c r="BA666" s="193">
        <f t="shared" si="24"/>
        <v>0</v>
      </c>
      <c r="BB666" s="9"/>
    </row>
    <row r="667" spans="1:54" hidden="1" x14ac:dyDescent="0.35">
      <c r="A667" s="54"/>
      <c r="B667" s="210" t="s">
        <v>202</v>
      </c>
      <c r="C667" s="42"/>
      <c r="D667" s="199"/>
      <c r="E667" s="197"/>
      <c r="F667" s="146"/>
      <c r="G667" s="146"/>
      <c r="H667" s="42"/>
      <c r="I667" s="199"/>
      <c r="J667" s="197"/>
      <c r="K667" s="198"/>
      <c r="L667" s="146"/>
      <c r="M667" s="178"/>
      <c r="N667" s="199"/>
      <c r="O667" s="197"/>
      <c r="P667" s="146"/>
      <c r="Q667" s="146"/>
      <c r="R667" s="30"/>
      <c r="S667" s="199"/>
      <c r="T667" s="197"/>
      <c r="U667" s="146"/>
      <c r="V667" s="146"/>
      <c r="W667" s="30"/>
      <c r="X667" s="199"/>
      <c r="Y667" s="197"/>
      <c r="Z667" s="146"/>
      <c r="AA667" s="146"/>
      <c r="AB667" s="42"/>
      <c r="AC667" s="46"/>
      <c r="AD667" s="199"/>
      <c r="AE667" s="197"/>
      <c r="AF667" s="198"/>
      <c r="AG667" s="146"/>
      <c r="AH667" s="200"/>
      <c r="AI667" s="199"/>
      <c r="AJ667" s="197"/>
      <c r="AK667" s="146"/>
      <c r="AL667" s="146"/>
      <c r="AM667" s="32"/>
      <c r="AN667" s="199"/>
      <c r="AO667" s="197"/>
      <c r="AP667" s="146"/>
      <c r="AQ667" s="146"/>
      <c r="AR667" s="32"/>
      <c r="AS667" s="199"/>
      <c r="AT667" s="197"/>
      <c r="AU667" s="146"/>
      <c r="AV667" s="146"/>
      <c r="AW667" s="30"/>
      <c r="AX667" s="199"/>
      <c r="AY667" s="197"/>
      <c r="AZ667" s="146"/>
      <c r="BA667" s="56">
        <f t="shared" si="24"/>
        <v>0</v>
      </c>
      <c r="BB667" s="9"/>
    </row>
    <row r="668" spans="1:54" hidden="1" x14ac:dyDescent="0.35">
      <c r="A668" s="54"/>
      <c r="B668" s="55" t="s">
        <v>203</v>
      </c>
      <c r="C668" s="42"/>
      <c r="D668" s="199"/>
      <c r="E668" s="197">
        <v>0</v>
      </c>
      <c r="F668" s="177">
        <v>0</v>
      </c>
      <c r="G668" s="177">
        <v>0</v>
      </c>
      <c r="H668" s="42"/>
      <c r="I668" s="199"/>
      <c r="J668" s="197"/>
      <c r="K668" s="198"/>
      <c r="L668" s="146"/>
      <c r="M668" s="178"/>
      <c r="N668" s="199"/>
      <c r="O668" s="197"/>
      <c r="P668" s="146"/>
      <c r="Q668" s="146"/>
      <c r="R668" s="30"/>
      <c r="S668" s="199"/>
      <c r="T668" s="197"/>
      <c r="U668" s="146"/>
      <c r="V668" s="146"/>
      <c r="W668" s="30"/>
      <c r="X668" s="199"/>
      <c r="Y668" s="197"/>
      <c r="Z668" s="146"/>
      <c r="AA668" s="146"/>
      <c r="AB668" s="42"/>
      <c r="AC668" s="46"/>
      <c r="AD668" s="199"/>
      <c r="AE668" s="197"/>
      <c r="AF668" s="198"/>
      <c r="AG668" s="146"/>
      <c r="AH668" s="200"/>
      <c r="AI668" s="199"/>
      <c r="AJ668" s="197"/>
      <c r="AK668" s="146"/>
      <c r="AL668" s="146"/>
      <c r="AM668" s="32"/>
      <c r="AN668" s="199"/>
      <c r="AO668" s="197"/>
      <c r="AP668" s="146"/>
      <c r="AQ668" s="146"/>
      <c r="AR668" s="32"/>
      <c r="AS668" s="199"/>
      <c r="AT668" s="197"/>
      <c r="AU668" s="146"/>
      <c r="AV668" s="146"/>
      <c r="AW668" s="30"/>
      <c r="AX668" s="199"/>
      <c r="AY668" s="197"/>
      <c r="AZ668" s="177"/>
      <c r="BA668" s="56">
        <f t="shared" si="24"/>
        <v>0</v>
      </c>
      <c r="BB668" s="9"/>
    </row>
    <row r="669" spans="1:54" x14ac:dyDescent="0.35">
      <c r="A669" s="54"/>
      <c r="B669" s="55" t="s">
        <v>395</v>
      </c>
      <c r="C669" s="216" t="s">
        <v>27</v>
      </c>
      <c r="D669" s="176" t="s">
        <v>56</v>
      </c>
      <c r="E669" s="197">
        <v>27</v>
      </c>
      <c r="F669" s="177">
        <v>46.496950257410163</v>
      </c>
      <c r="G669" s="177">
        <v>1255.4176569500744</v>
      </c>
      <c r="H669" s="216"/>
      <c r="I669" s="176" t="s">
        <v>56</v>
      </c>
      <c r="J669" s="285">
        <v>27</v>
      </c>
      <c r="K669" s="198">
        <v>46.496950257410163</v>
      </c>
      <c r="L669" s="146">
        <v>1255.4176569500744</v>
      </c>
      <c r="M669" s="178"/>
      <c r="N669" s="176"/>
      <c r="O669" s="285"/>
      <c r="P669" s="307"/>
      <c r="Q669" s="146">
        <v>0</v>
      </c>
      <c r="R669" s="30"/>
      <c r="S669" s="176"/>
      <c r="T669" s="285"/>
      <c r="U669" s="307"/>
      <c r="V669" s="146">
        <v>0</v>
      </c>
      <c r="W669" s="30"/>
      <c r="X669" s="176"/>
      <c r="Y669" s="285"/>
      <c r="Z669" s="307"/>
      <c r="AA669" s="146">
        <v>0</v>
      </c>
      <c r="AB669" s="216"/>
      <c r="AC669" s="218"/>
      <c r="AD669" s="176"/>
      <c r="AE669" s="285"/>
      <c r="AF669" s="198"/>
      <c r="AG669" s="146"/>
      <c r="AH669" s="200"/>
      <c r="AI669" s="176"/>
      <c r="AJ669" s="285"/>
      <c r="AK669" s="307"/>
      <c r="AL669" s="146"/>
      <c r="AM669" s="32"/>
      <c r="AN669" s="176"/>
      <c r="AO669" s="285"/>
      <c r="AP669" s="307"/>
      <c r="AQ669" s="146"/>
      <c r="AR669" s="32"/>
      <c r="AS669" s="176"/>
      <c r="AT669" s="285"/>
      <c r="AU669" s="307"/>
      <c r="AV669" s="146"/>
      <c r="AW669" s="30"/>
      <c r="AX669" s="176"/>
      <c r="AY669" s="197"/>
      <c r="AZ669" s="177"/>
      <c r="BA669" s="56">
        <f t="shared" si="24"/>
        <v>0</v>
      </c>
      <c r="BB669" s="9"/>
    </row>
    <row r="670" spans="1:54" x14ac:dyDescent="0.35">
      <c r="A670" s="54"/>
      <c r="B670" s="55" t="s">
        <v>393</v>
      </c>
      <c r="C670" s="216" t="s">
        <v>27</v>
      </c>
      <c r="D670" s="176" t="s">
        <v>56</v>
      </c>
      <c r="E670" s="197">
        <v>3</v>
      </c>
      <c r="F670" s="177">
        <v>91.469410342446224</v>
      </c>
      <c r="G670" s="177">
        <v>274.40823102733867</v>
      </c>
      <c r="H670" s="216"/>
      <c r="I670" s="176" t="s">
        <v>56</v>
      </c>
      <c r="J670" s="285">
        <v>3</v>
      </c>
      <c r="K670" s="198">
        <v>91.469410342446224</v>
      </c>
      <c r="L670" s="146">
        <v>274.40823102733867</v>
      </c>
      <c r="M670" s="178"/>
      <c r="N670" s="176"/>
      <c r="O670" s="285"/>
      <c r="P670" s="307"/>
      <c r="Q670" s="146">
        <v>0</v>
      </c>
      <c r="R670" s="30"/>
      <c r="S670" s="176"/>
      <c r="T670" s="285"/>
      <c r="U670" s="307"/>
      <c r="V670" s="146">
        <v>0</v>
      </c>
      <c r="W670" s="30"/>
      <c r="X670" s="176"/>
      <c r="Y670" s="285"/>
      <c r="Z670" s="307"/>
      <c r="AA670" s="146">
        <v>0</v>
      </c>
      <c r="AB670" s="216"/>
      <c r="AC670" s="218"/>
      <c r="AD670" s="176"/>
      <c r="AE670" s="285"/>
      <c r="AF670" s="198"/>
      <c r="AG670" s="146"/>
      <c r="AH670" s="200"/>
      <c r="AI670" s="176"/>
      <c r="AJ670" s="285"/>
      <c r="AK670" s="307"/>
      <c r="AL670" s="146"/>
      <c r="AM670" s="32"/>
      <c r="AN670" s="176"/>
      <c r="AO670" s="285"/>
      <c r="AP670" s="307"/>
      <c r="AQ670" s="146"/>
      <c r="AR670" s="32"/>
      <c r="AS670" s="176"/>
      <c r="AT670" s="285"/>
      <c r="AU670" s="307"/>
      <c r="AV670" s="146"/>
      <c r="AW670" s="30"/>
      <c r="AX670" s="176"/>
      <c r="AY670" s="197"/>
      <c r="AZ670" s="177"/>
      <c r="BA670" s="56">
        <f t="shared" si="24"/>
        <v>0</v>
      </c>
      <c r="BB670" s="9"/>
    </row>
    <row r="671" spans="1:54" hidden="1" x14ac:dyDescent="0.35">
      <c r="A671" s="54"/>
      <c r="B671" s="55" t="s">
        <v>211</v>
      </c>
      <c r="C671" s="216"/>
      <c r="D671" s="176"/>
      <c r="E671" s="197">
        <v>0</v>
      </c>
      <c r="F671" s="177">
        <v>0</v>
      </c>
      <c r="G671" s="177">
        <v>0</v>
      </c>
      <c r="H671" s="216"/>
      <c r="I671" s="176"/>
      <c r="J671" s="285"/>
      <c r="K671" s="306"/>
      <c r="L671" s="146"/>
      <c r="M671" s="178"/>
      <c r="N671" s="176"/>
      <c r="O671" s="285"/>
      <c r="P671" s="307"/>
      <c r="Q671" s="146"/>
      <c r="R671" s="30"/>
      <c r="S671" s="176"/>
      <c r="T671" s="285"/>
      <c r="U671" s="307"/>
      <c r="V671" s="146"/>
      <c r="W671" s="30"/>
      <c r="X671" s="176"/>
      <c r="Y671" s="285"/>
      <c r="Z671" s="307"/>
      <c r="AA671" s="146"/>
      <c r="AB671" s="216"/>
      <c r="AC671" s="218"/>
      <c r="AD671" s="176"/>
      <c r="AE671" s="285"/>
      <c r="AF671" s="306"/>
      <c r="AG671" s="146"/>
      <c r="AH671" s="200"/>
      <c r="AI671" s="176"/>
      <c r="AJ671" s="285"/>
      <c r="AK671" s="307"/>
      <c r="AL671" s="146"/>
      <c r="AM671" s="32"/>
      <c r="AN671" s="176"/>
      <c r="AO671" s="285"/>
      <c r="AP671" s="307"/>
      <c r="AQ671" s="146"/>
      <c r="AR671" s="32"/>
      <c r="AS671" s="176"/>
      <c r="AT671" s="285"/>
      <c r="AU671" s="307"/>
      <c r="AV671" s="146"/>
      <c r="AW671" s="30"/>
      <c r="AX671" s="176"/>
      <c r="AY671" s="197"/>
      <c r="AZ671" s="177"/>
      <c r="BA671" s="56">
        <f t="shared" si="24"/>
        <v>0</v>
      </c>
      <c r="BB671" s="9"/>
    </row>
    <row r="672" spans="1:54" hidden="1" x14ac:dyDescent="0.35">
      <c r="A672" s="54"/>
      <c r="B672" s="174" t="s">
        <v>246</v>
      </c>
      <c r="C672" s="216"/>
      <c r="D672" s="176" t="s">
        <v>359</v>
      </c>
      <c r="E672" s="197">
        <v>0</v>
      </c>
      <c r="F672" s="177">
        <v>0</v>
      </c>
      <c r="G672" s="177">
        <v>0</v>
      </c>
      <c r="H672" s="216"/>
      <c r="I672" s="176"/>
      <c r="J672" s="197"/>
      <c r="K672" s="198"/>
      <c r="L672" s="146"/>
      <c r="M672" s="178"/>
      <c r="N672" s="199"/>
      <c r="O672" s="197"/>
      <c r="P672" s="146"/>
      <c r="Q672" s="146"/>
      <c r="R672" s="30"/>
      <c r="S672" s="199"/>
      <c r="T672" s="197"/>
      <c r="U672" s="146"/>
      <c r="V672" s="146"/>
      <c r="W672" s="30"/>
      <c r="X672" s="199"/>
      <c r="Y672" s="197"/>
      <c r="Z672" s="146"/>
      <c r="AA672" s="146"/>
      <c r="AB672" s="216"/>
      <c r="AC672" s="218"/>
      <c r="AD672" s="176"/>
      <c r="AE672" s="197"/>
      <c r="AF672" s="198"/>
      <c r="AG672" s="146"/>
      <c r="AH672" s="200"/>
      <c r="AI672" s="199"/>
      <c r="AJ672" s="197"/>
      <c r="AK672" s="146"/>
      <c r="AL672" s="146"/>
      <c r="AM672" s="32"/>
      <c r="AN672" s="199"/>
      <c r="AO672" s="197"/>
      <c r="AP672" s="146"/>
      <c r="AQ672" s="146"/>
      <c r="AR672" s="32"/>
      <c r="AS672" s="199"/>
      <c r="AT672" s="197"/>
      <c r="AU672" s="146"/>
      <c r="AV672" s="146"/>
      <c r="AW672" s="30"/>
      <c r="AX672" s="176"/>
      <c r="AY672" s="197"/>
      <c r="AZ672" s="177"/>
      <c r="BA672" s="56">
        <f t="shared" si="24"/>
        <v>0</v>
      </c>
      <c r="BB672" s="9"/>
    </row>
    <row r="673" spans="1:54" ht="29" x14ac:dyDescent="0.35">
      <c r="A673" s="54"/>
      <c r="B673" s="342" t="s">
        <v>396</v>
      </c>
      <c r="C673" s="189"/>
      <c r="D673" s="202"/>
      <c r="E673" s="203"/>
      <c r="F673" s="204"/>
      <c r="G673" s="204">
        <f>SUM(G674:G678)</f>
        <v>91469.410342446237</v>
      </c>
      <c r="H673" s="189"/>
      <c r="I673" s="202"/>
      <c r="J673" s="282"/>
      <c r="K673" s="283"/>
      <c r="L673" s="206">
        <f>SUM(L674:L678)</f>
        <v>0</v>
      </c>
      <c r="M673" s="207"/>
      <c r="N673" s="202"/>
      <c r="O673" s="282"/>
      <c r="P673" s="331"/>
      <c r="Q673" s="206">
        <f>SUM(Q674:Q678)</f>
        <v>30489.803447482074</v>
      </c>
      <c r="R673" s="194"/>
      <c r="S673" s="202"/>
      <c r="T673" s="282"/>
      <c r="U673" s="331"/>
      <c r="V673" s="206">
        <f>SUM(V674:V678)</f>
        <v>30489.803447482074</v>
      </c>
      <c r="W673" s="194"/>
      <c r="X673" s="202"/>
      <c r="Y673" s="282"/>
      <c r="Z673" s="331"/>
      <c r="AA673" s="206">
        <f>SUM(AA674:AA678)</f>
        <v>30489.803447482074</v>
      </c>
      <c r="AB673" s="189"/>
      <c r="AC673" s="195"/>
      <c r="AD673" s="202"/>
      <c r="AE673" s="282"/>
      <c r="AF673" s="283"/>
      <c r="AG673" s="206">
        <v>0</v>
      </c>
      <c r="AH673" s="209"/>
      <c r="AI673" s="202"/>
      <c r="AJ673" s="282"/>
      <c r="AK673" s="331"/>
      <c r="AL673" s="206"/>
      <c r="AM673" s="196"/>
      <c r="AN673" s="202"/>
      <c r="AO673" s="282"/>
      <c r="AP673" s="331"/>
      <c r="AQ673" s="206"/>
      <c r="AR673" s="196"/>
      <c r="AS673" s="202"/>
      <c r="AT673" s="282"/>
      <c r="AU673" s="331"/>
      <c r="AV673" s="206"/>
      <c r="AW673" s="194"/>
      <c r="AX673" s="202"/>
      <c r="AY673" s="203"/>
      <c r="AZ673" s="204"/>
      <c r="BA673" s="193">
        <f t="shared" si="24"/>
        <v>0</v>
      </c>
      <c r="BB673" s="9"/>
    </row>
    <row r="674" spans="1:54" x14ac:dyDescent="0.35">
      <c r="A674" s="54"/>
      <c r="B674" s="210" t="s">
        <v>202</v>
      </c>
      <c r="C674" s="42"/>
      <c r="D674" s="199"/>
      <c r="E674" s="197"/>
      <c r="F674" s="146"/>
      <c r="G674" s="146"/>
      <c r="H674" s="42"/>
      <c r="I674" s="199"/>
      <c r="J674" s="197"/>
      <c r="K674" s="198"/>
      <c r="L674" s="146"/>
      <c r="M674" s="178"/>
      <c r="N674" s="199"/>
      <c r="O674" s="197"/>
      <c r="P674" s="146"/>
      <c r="Q674" s="146"/>
      <c r="R674" s="30"/>
      <c r="S674" s="199"/>
      <c r="T674" s="197"/>
      <c r="U674" s="146"/>
      <c r="V674" s="146"/>
      <c r="W674" s="30"/>
      <c r="X674" s="199"/>
      <c r="Y674" s="197"/>
      <c r="Z674" s="146"/>
      <c r="AA674" s="146"/>
      <c r="AB674" s="42"/>
      <c r="AC674" s="46"/>
      <c r="AD674" s="199"/>
      <c r="AE674" s="197"/>
      <c r="AF674" s="198"/>
      <c r="AG674" s="146"/>
      <c r="AH674" s="200"/>
      <c r="AI674" s="199"/>
      <c r="AJ674" s="197"/>
      <c r="AK674" s="146"/>
      <c r="AL674" s="146"/>
      <c r="AM674" s="32"/>
      <c r="AN674" s="199"/>
      <c r="AO674" s="197"/>
      <c r="AP674" s="146"/>
      <c r="AQ674" s="146"/>
      <c r="AR674" s="32"/>
      <c r="AS674" s="199"/>
      <c r="AT674" s="197"/>
      <c r="AU674" s="146"/>
      <c r="AV674" s="146"/>
      <c r="AW674" s="30"/>
      <c r="AX674" s="199"/>
      <c r="AY674" s="197"/>
      <c r="AZ674" s="146"/>
      <c r="BA674" s="56">
        <f t="shared" si="24"/>
        <v>0</v>
      </c>
      <c r="BB674" s="9"/>
    </row>
    <row r="675" spans="1:54" x14ac:dyDescent="0.35">
      <c r="A675" s="54"/>
      <c r="B675" s="55" t="s">
        <v>203</v>
      </c>
      <c r="C675" s="42"/>
      <c r="D675" s="199"/>
      <c r="E675" s="197">
        <v>0</v>
      </c>
      <c r="F675" s="177">
        <v>0</v>
      </c>
      <c r="G675" s="177">
        <v>0</v>
      </c>
      <c r="H675" s="42"/>
      <c r="I675" s="199"/>
      <c r="J675" s="197"/>
      <c r="K675" s="198">
        <v>0</v>
      </c>
      <c r="L675" s="146"/>
      <c r="M675" s="178"/>
      <c r="N675" s="199"/>
      <c r="O675" s="197"/>
      <c r="P675" s="146"/>
      <c r="Q675" s="146"/>
      <c r="R675" s="30"/>
      <c r="S675" s="199"/>
      <c r="T675" s="197"/>
      <c r="U675" s="146"/>
      <c r="V675" s="146"/>
      <c r="W675" s="30"/>
      <c r="X675" s="199"/>
      <c r="Y675" s="197"/>
      <c r="Z675" s="146"/>
      <c r="AA675" s="146"/>
      <c r="AB675" s="42"/>
      <c r="AC675" s="46"/>
      <c r="AD675" s="199"/>
      <c r="AE675" s="197"/>
      <c r="AF675" s="198"/>
      <c r="AG675" s="146"/>
      <c r="AH675" s="200"/>
      <c r="AI675" s="199"/>
      <c r="AJ675" s="197"/>
      <c r="AK675" s="146"/>
      <c r="AL675" s="146"/>
      <c r="AM675" s="32"/>
      <c r="AN675" s="199"/>
      <c r="AO675" s="197"/>
      <c r="AP675" s="146"/>
      <c r="AQ675" s="146"/>
      <c r="AR675" s="32"/>
      <c r="AS675" s="199"/>
      <c r="AT675" s="197"/>
      <c r="AU675" s="146"/>
      <c r="AV675" s="146"/>
      <c r="AW675" s="30"/>
      <c r="AX675" s="199"/>
      <c r="AY675" s="197"/>
      <c r="AZ675" s="177"/>
      <c r="BA675" s="56">
        <f t="shared" si="24"/>
        <v>0</v>
      </c>
      <c r="BB675" s="9"/>
    </row>
    <row r="676" spans="1:54" x14ac:dyDescent="0.35">
      <c r="A676" s="54"/>
      <c r="B676" s="174" t="s">
        <v>210</v>
      </c>
      <c r="C676" s="216"/>
      <c r="D676" s="176"/>
      <c r="E676" s="197">
        <v>0</v>
      </c>
      <c r="F676" s="177">
        <v>0</v>
      </c>
      <c r="G676" s="177">
        <v>0</v>
      </c>
      <c r="H676" s="216"/>
      <c r="I676" s="176"/>
      <c r="J676" s="285"/>
      <c r="K676" s="306"/>
      <c r="L676" s="146">
        <v>0</v>
      </c>
      <c r="M676" s="178"/>
      <c r="N676" s="176"/>
      <c r="O676" s="285"/>
      <c r="P676" s="307"/>
      <c r="Q676" s="146">
        <v>0</v>
      </c>
      <c r="R676" s="30"/>
      <c r="S676" s="176"/>
      <c r="T676" s="285"/>
      <c r="U676" s="307"/>
      <c r="V676" s="146">
        <v>0</v>
      </c>
      <c r="W676" s="30"/>
      <c r="X676" s="176"/>
      <c r="Y676" s="285"/>
      <c r="Z676" s="307"/>
      <c r="AA676" s="146">
        <v>0</v>
      </c>
      <c r="AB676" s="216"/>
      <c r="AC676" s="218"/>
      <c r="AD676" s="176"/>
      <c r="AE676" s="285"/>
      <c r="AF676" s="306"/>
      <c r="AG676" s="146"/>
      <c r="AH676" s="200"/>
      <c r="AI676" s="176"/>
      <c r="AJ676" s="285"/>
      <c r="AK676" s="307"/>
      <c r="AL676" s="146"/>
      <c r="AM676" s="32"/>
      <c r="AN676" s="176"/>
      <c r="AO676" s="285"/>
      <c r="AP676" s="307"/>
      <c r="AQ676" s="146"/>
      <c r="AR676" s="32"/>
      <c r="AS676" s="176"/>
      <c r="AT676" s="285"/>
      <c r="AU676" s="307"/>
      <c r="AV676" s="146"/>
      <c r="AW676" s="30"/>
      <c r="AX676" s="176"/>
      <c r="AY676" s="197"/>
      <c r="AZ676" s="177"/>
      <c r="BA676" s="56">
        <f t="shared" si="24"/>
        <v>0</v>
      </c>
      <c r="BB676" s="9"/>
    </row>
    <row r="677" spans="1:54" ht="29" x14ac:dyDescent="0.35">
      <c r="A677" s="54"/>
      <c r="B677" s="55" t="s">
        <v>397</v>
      </c>
      <c r="C677" s="216" t="s">
        <v>27</v>
      </c>
      <c r="D677" s="176" t="s">
        <v>398</v>
      </c>
      <c r="E677" s="197">
        <v>72</v>
      </c>
      <c r="F677" s="177">
        <v>762.24508618705192</v>
      </c>
      <c r="G677" s="177">
        <v>54881.646205467739</v>
      </c>
      <c r="H677" s="216"/>
      <c r="I677" s="176" t="s">
        <v>398</v>
      </c>
      <c r="J677" s="285"/>
      <c r="K677" s="306">
        <v>762.24508618705192</v>
      </c>
      <c r="L677" s="146">
        <v>0</v>
      </c>
      <c r="M677" s="178"/>
      <c r="N677" s="176" t="s">
        <v>398</v>
      </c>
      <c r="O677" s="285">
        <v>24</v>
      </c>
      <c r="P677" s="351">
        <v>762.24508618705192</v>
      </c>
      <c r="Q677" s="146">
        <v>18293.882068489245</v>
      </c>
      <c r="R677" s="30"/>
      <c r="S677" s="176" t="s">
        <v>398</v>
      </c>
      <c r="T677" s="285">
        <v>24</v>
      </c>
      <c r="U677" s="351">
        <v>762.24508618705192</v>
      </c>
      <c r="V677" s="146">
        <v>18293.882068489245</v>
      </c>
      <c r="W677" s="30"/>
      <c r="X677" s="176" t="s">
        <v>398</v>
      </c>
      <c r="Y677" s="285">
        <v>24</v>
      </c>
      <c r="Z677" s="351">
        <v>762.24508618705192</v>
      </c>
      <c r="AA677" s="146">
        <v>18293.882068489245</v>
      </c>
      <c r="AB677" s="216"/>
      <c r="AC677" s="218"/>
      <c r="AD677" s="176"/>
      <c r="AE677" s="285"/>
      <c r="AF677" s="306"/>
      <c r="AG677" s="146"/>
      <c r="AH677" s="200"/>
      <c r="AI677" s="176"/>
      <c r="AJ677" s="285"/>
      <c r="AK677" s="351"/>
      <c r="AL677" s="146"/>
      <c r="AM677" s="32"/>
      <c r="AN677" s="176"/>
      <c r="AO677" s="285"/>
      <c r="AP677" s="351"/>
      <c r="AQ677" s="146"/>
      <c r="AR677" s="32"/>
      <c r="AS677" s="176"/>
      <c r="AT677" s="285"/>
      <c r="AU677" s="351"/>
      <c r="AV677" s="146"/>
      <c r="AW677" s="30"/>
      <c r="AX677" s="176"/>
      <c r="AY677" s="197"/>
      <c r="AZ677" s="177"/>
      <c r="BA677" s="56">
        <f t="shared" si="24"/>
        <v>0</v>
      </c>
      <c r="BB677" s="9"/>
    </row>
    <row r="678" spans="1:54" ht="25" x14ac:dyDescent="0.35">
      <c r="A678" s="54"/>
      <c r="B678" s="174" t="s">
        <v>399</v>
      </c>
      <c r="C678" s="216" t="s">
        <v>27</v>
      </c>
      <c r="D678" s="176" t="s">
        <v>400</v>
      </c>
      <c r="E678" s="197">
        <v>24</v>
      </c>
      <c r="F678" s="177">
        <v>1524.4901723741038</v>
      </c>
      <c r="G678" s="177">
        <v>36587.764136978491</v>
      </c>
      <c r="H678" s="216"/>
      <c r="I678" s="176" t="s">
        <v>400</v>
      </c>
      <c r="J678" s="197"/>
      <c r="K678" s="198">
        <v>1524.4901723741038</v>
      </c>
      <c r="L678" s="146">
        <v>0</v>
      </c>
      <c r="M678" s="178"/>
      <c r="N678" s="176" t="s">
        <v>400</v>
      </c>
      <c r="O678" s="197">
        <v>8</v>
      </c>
      <c r="P678" s="146">
        <v>1524.4901723741038</v>
      </c>
      <c r="Q678" s="146">
        <v>12195.921378992831</v>
      </c>
      <c r="R678" s="30"/>
      <c r="S678" s="176" t="s">
        <v>400</v>
      </c>
      <c r="T678" s="197">
        <v>8</v>
      </c>
      <c r="U678" s="146">
        <v>1524.4901723741038</v>
      </c>
      <c r="V678" s="146">
        <v>12195.921378992831</v>
      </c>
      <c r="W678" s="30"/>
      <c r="X678" s="176" t="s">
        <v>400</v>
      </c>
      <c r="Y678" s="197">
        <v>8</v>
      </c>
      <c r="Z678" s="146">
        <v>1524.4901723741038</v>
      </c>
      <c r="AA678" s="146">
        <v>12195.921378992831</v>
      </c>
      <c r="AB678" s="216"/>
      <c r="AC678" s="218"/>
      <c r="AD678" s="176"/>
      <c r="AE678" s="197"/>
      <c r="AF678" s="198"/>
      <c r="AG678" s="146"/>
      <c r="AH678" s="200"/>
      <c r="AI678" s="176"/>
      <c r="AJ678" s="197"/>
      <c r="AK678" s="146"/>
      <c r="AL678" s="146"/>
      <c r="AM678" s="32"/>
      <c r="AN678" s="176"/>
      <c r="AO678" s="197"/>
      <c r="AP678" s="146"/>
      <c r="AQ678" s="146"/>
      <c r="AR678" s="32"/>
      <c r="AS678" s="176"/>
      <c r="AT678" s="197"/>
      <c r="AU678" s="146"/>
      <c r="AV678" s="146"/>
      <c r="AW678" s="30"/>
      <c r="AX678" s="176"/>
      <c r="AY678" s="197"/>
      <c r="AZ678" s="177"/>
      <c r="BA678" s="56">
        <f t="shared" si="24"/>
        <v>0</v>
      </c>
      <c r="BB678" s="9"/>
    </row>
    <row r="679" spans="1:54" ht="43.5" x14ac:dyDescent="0.35">
      <c r="A679" s="54"/>
      <c r="B679" s="352" t="s">
        <v>401</v>
      </c>
      <c r="C679" s="189"/>
      <c r="D679" s="202"/>
      <c r="E679" s="203">
        <v>0</v>
      </c>
      <c r="F679" s="204">
        <v>0</v>
      </c>
      <c r="G679" s="204">
        <f>SUM(G682:G684)</f>
        <v>75004.916480805899</v>
      </c>
      <c r="H679" s="189"/>
      <c r="I679" s="202"/>
      <c r="J679" s="203"/>
      <c r="K679" s="280"/>
      <c r="L679" s="206">
        <f>SUM(L682:L684)</f>
        <v>11891.023344518009</v>
      </c>
      <c r="M679" s="207"/>
      <c r="N679" s="202"/>
      <c r="O679" s="203"/>
      <c r="P679" s="281"/>
      <c r="Q679" s="206">
        <f>SUM(Q682:Q684)</f>
        <v>21037.96437876263</v>
      </c>
      <c r="R679" s="194"/>
      <c r="S679" s="202"/>
      <c r="T679" s="203"/>
      <c r="U679" s="281"/>
      <c r="V679" s="206">
        <f>SUM(V682:V684)</f>
        <v>21037.96437876263</v>
      </c>
      <c r="W679" s="194"/>
      <c r="X679" s="202"/>
      <c r="Y679" s="203"/>
      <c r="Z679" s="281"/>
      <c r="AA679" s="206">
        <f>SUM(AA682:AA684)</f>
        <v>21037.96437876263</v>
      </c>
      <c r="AB679" s="189"/>
      <c r="AC679" s="195"/>
      <c r="AD679" s="202"/>
      <c r="AE679" s="203"/>
      <c r="AF679" s="280"/>
      <c r="AG679" s="206">
        <v>15241.555999999995</v>
      </c>
      <c r="AH679" s="209"/>
      <c r="AI679" s="202"/>
      <c r="AJ679" s="203"/>
      <c r="AK679" s="281"/>
      <c r="AL679" s="206"/>
      <c r="AM679" s="196"/>
      <c r="AN679" s="202"/>
      <c r="AO679" s="203"/>
      <c r="AP679" s="281"/>
      <c r="AQ679" s="206"/>
      <c r="AR679" s="196"/>
      <c r="AS679" s="202"/>
      <c r="AT679" s="203"/>
      <c r="AU679" s="281"/>
      <c r="AV679" s="206"/>
      <c r="AW679" s="194"/>
      <c r="AX679" s="202"/>
      <c r="AY679" s="203"/>
      <c r="AZ679" s="204"/>
      <c r="BA679" s="193">
        <f t="shared" si="24"/>
        <v>15241.555999999995</v>
      </c>
      <c r="BB679" s="9"/>
    </row>
    <row r="680" spans="1:54" hidden="1" x14ac:dyDescent="0.35">
      <c r="A680" s="54"/>
      <c r="B680" s="210" t="s">
        <v>202</v>
      </c>
      <c r="C680" s="42"/>
      <c r="D680" s="199"/>
      <c r="E680" s="197"/>
      <c r="F680" s="146"/>
      <c r="G680" s="146"/>
      <c r="H680" s="42"/>
      <c r="I680" s="199"/>
      <c r="J680" s="197"/>
      <c r="K680" s="198"/>
      <c r="L680" s="146"/>
      <c r="M680" s="178"/>
      <c r="N680" s="199"/>
      <c r="O680" s="197"/>
      <c r="P680" s="146"/>
      <c r="Q680" s="146"/>
      <c r="R680" s="30"/>
      <c r="S680" s="199"/>
      <c r="T680" s="197"/>
      <c r="U680" s="146"/>
      <c r="V680" s="146"/>
      <c r="W680" s="30"/>
      <c r="X680" s="199"/>
      <c r="Y680" s="197"/>
      <c r="Z680" s="146"/>
      <c r="AA680" s="146"/>
      <c r="AB680" s="42"/>
      <c r="AC680" s="46"/>
      <c r="AD680" s="199"/>
      <c r="AE680" s="197"/>
      <c r="AF680" s="198"/>
      <c r="AG680" s="146"/>
      <c r="AH680" s="200"/>
      <c r="AI680" s="199"/>
      <c r="AJ680" s="197"/>
      <c r="AK680" s="146"/>
      <c r="AL680" s="146"/>
      <c r="AM680" s="32"/>
      <c r="AN680" s="199"/>
      <c r="AO680" s="197"/>
      <c r="AP680" s="146"/>
      <c r="AQ680" s="146"/>
      <c r="AR680" s="32"/>
      <c r="AS680" s="199"/>
      <c r="AT680" s="197"/>
      <c r="AU680" s="146"/>
      <c r="AV680" s="146"/>
      <c r="AW680" s="30"/>
      <c r="AX680" s="199"/>
      <c r="AY680" s="197"/>
      <c r="AZ680" s="146"/>
      <c r="BA680" s="56">
        <f t="shared" si="24"/>
        <v>0</v>
      </c>
      <c r="BB680" s="9"/>
    </row>
    <row r="681" spans="1:54" hidden="1" x14ac:dyDescent="0.35">
      <c r="A681" s="54"/>
      <c r="B681" s="55" t="s">
        <v>203</v>
      </c>
      <c r="C681" s="42"/>
      <c r="D681" s="199"/>
      <c r="E681" s="197">
        <v>0</v>
      </c>
      <c r="F681" s="177">
        <v>0</v>
      </c>
      <c r="G681" s="177">
        <v>0</v>
      </c>
      <c r="H681" s="42"/>
      <c r="I681" s="199"/>
      <c r="J681" s="197"/>
      <c r="K681" s="198"/>
      <c r="L681" s="146"/>
      <c r="M681" s="178"/>
      <c r="N681" s="199"/>
      <c r="O681" s="197"/>
      <c r="P681" s="146"/>
      <c r="Q681" s="146"/>
      <c r="R681" s="30"/>
      <c r="S681" s="199"/>
      <c r="T681" s="197"/>
      <c r="U681" s="146"/>
      <c r="V681" s="146"/>
      <c r="W681" s="30"/>
      <c r="X681" s="199"/>
      <c r="Y681" s="197"/>
      <c r="Z681" s="146"/>
      <c r="AA681" s="146"/>
      <c r="AB681" s="42"/>
      <c r="AC681" s="46"/>
      <c r="AD681" s="199"/>
      <c r="AE681" s="197"/>
      <c r="AF681" s="198"/>
      <c r="AG681" s="146"/>
      <c r="AH681" s="200"/>
      <c r="AI681" s="199"/>
      <c r="AJ681" s="197"/>
      <c r="AK681" s="146"/>
      <c r="AL681" s="146"/>
      <c r="AM681" s="32"/>
      <c r="AN681" s="199"/>
      <c r="AO681" s="197"/>
      <c r="AP681" s="146"/>
      <c r="AQ681" s="146"/>
      <c r="AR681" s="32"/>
      <c r="AS681" s="199"/>
      <c r="AT681" s="197"/>
      <c r="AU681" s="146"/>
      <c r="AV681" s="146"/>
      <c r="AW681" s="30"/>
      <c r="AX681" s="199"/>
      <c r="AY681" s="197"/>
      <c r="AZ681" s="177"/>
      <c r="BA681" s="56">
        <f t="shared" si="24"/>
        <v>0</v>
      </c>
      <c r="BB681" s="9"/>
    </row>
    <row r="682" spans="1:54" ht="29" x14ac:dyDescent="0.35">
      <c r="A682" s="54"/>
      <c r="B682" s="55" t="s">
        <v>402</v>
      </c>
      <c r="C682" s="290" t="s">
        <v>27</v>
      </c>
      <c r="D682" s="176" t="s">
        <v>403</v>
      </c>
      <c r="E682" s="197">
        <v>2460</v>
      </c>
      <c r="F682" s="177">
        <v>22.867352585611556</v>
      </c>
      <c r="G682" s="177">
        <v>56253.687360604425</v>
      </c>
      <c r="H682" s="290"/>
      <c r="I682" s="176" t="s">
        <v>398</v>
      </c>
      <c r="J682" s="197">
        <v>390</v>
      </c>
      <c r="K682" s="306">
        <v>22.867352585611556</v>
      </c>
      <c r="L682" s="146">
        <v>8918.267508388506</v>
      </c>
      <c r="M682" s="178"/>
      <c r="N682" s="176" t="s">
        <v>398</v>
      </c>
      <c r="O682" s="197">
        <v>690</v>
      </c>
      <c r="P682" s="307">
        <v>22.867352585611556</v>
      </c>
      <c r="Q682" s="146">
        <v>15778.473284071973</v>
      </c>
      <c r="R682" s="30"/>
      <c r="S682" s="176" t="s">
        <v>398</v>
      </c>
      <c r="T682" s="197">
        <v>690</v>
      </c>
      <c r="U682" s="307">
        <v>22.867352585611556</v>
      </c>
      <c r="V682" s="146">
        <v>15778.473284071973</v>
      </c>
      <c r="W682" s="30"/>
      <c r="X682" s="176" t="s">
        <v>398</v>
      </c>
      <c r="Y682" s="197">
        <v>690</v>
      </c>
      <c r="Z682" s="307">
        <v>22.867352585611556</v>
      </c>
      <c r="AA682" s="146">
        <v>15778.473284071973</v>
      </c>
      <c r="AB682" s="290"/>
      <c r="AC682" s="218"/>
      <c r="AD682" s="176"/>
      <c r="AE682" s="197"/>
      <c r="AF682" s="306"/>
      <c r="AG682" s="146"/>
      <c r="AH682" s="200"/>
      <c r="AI682" s="176"/>
      <c r="AJ682" s="197"/>
      <c r="AK682" s="307"/>
      <c r="AL682" s="146"/>
      <c r="AM682" s="32"/>
      <c r="AN682" s="176"/>
      <c r="AO682" s="197"/>
      <c r="AP682" s="307"/>
      <c r="AQ682" s="146"/>
      <c r="AR682" s="32"/>
      <c r="AS682" s="176"/>
      <c r="AT682" s="197"/>
      <c r="AU682" s="307"/>
      <c r="AV682" s="146"/>
      <c r="AW682" s="30"/>
      <c r="AX682" s="176"/>
      <c r="AY682" s="197"/>
      <c r="AZ682" s="177"/>
      <c r="BA682" s="56">
        <f t="shared" si="24"/>
        <v>0</v>
      </c>
      <c r="BB682" s="9"/>
    </row>
    <row r="683" spans="1:54" hidden="1" x14ac:dyDescent="0.35">
      <c r="A683" s="54"/>
      <c r="B683" s="55" t="s">
        <v>211</v>
      </c>
      <c r="C683" s="216"/>
      <c r="D683" s="176"/>
      <c r="E683" s="197">
        <v>0</v>
      </c>
      <c r="F683" s="177">
        <v>0</v>
      </c>
      <c r="G683" s="177">
        <v>0</v>
      </c>
      <c r="H683" s="216"/>
      <c r="I683" s="176"/>
      <c r="J683" s="285"/>
      <c r="K683" s="306"/>
      <c r="L683" s="146"/>
      <c r="M683" s="178"/>
      <c r="N683" s="176"/>
      <c r="O683" s="285"/>
      <c r="P683" s="307"/>
      <c r="Q683" s="146"/>
      <c r="R683" s="30"/>
      <c r="S683" s="176"/>
      <c r="T683" s="285"/>
      <c r="U683" s="307"/>
      <c r="V683" s="146"/>
      <c r="W683" s="30"/>
      <c r="X683" s="176"/>
      <c r="Y683" s="285"/>
      <c r="Z683" s="307"/>
      <c r="AA683" s="146"/>
      <c r="AB683" s="216"/>
      <c r="AC683" s="218"/>
      <c r="AD683" s="176"/>
      <c r="AE683" s="285"/>
      <c r="AF683" s="306"/>
      <c r="AG683" s="146"/>
      <c r="AH683" s="200"/>
      <c r="AI683" s="176"/>
      <c r="AJ683" s="285"/>
      <c r="AK683" s="307"/>
      <c r="AL683" s="146"/>
      <c r="AM683" s="32"/>
      <c r="AN683" s="176"/>
      <c r="AO683" s="285"/>
      <c r="AP683" s="307"/>
      <c r="AQ683" s="146"/>
      <c r="AR683" s="32"/>
      <c r="AS683" s="176"/>
      <c r="AT683" s="285"/>
      <c r="AU683" s="307"/>
      <c r="AV683" s="146"/>
      <c r="AW683" s="30"/>
      <c r="AX683" s="176"/>
      <c r="AY683" s="197"/>
      <c r="AZ683" s="177"/>
      <c r="BA683" s="56">
        <f t="shared" si="24"/>
        <v>0</v>
      </c>
      <c r="BB683" s="9"/>
    </row>
    <row r="684" spans="1:54" ht="29" x14ac:dyDescent="0.35">
      <c r="A684" s="54"/>
      <c r="B684" s="174" t="s">
        <v>404</v>
      </c>
      <c r="C684" s="216" t="s">
        <v>27</v>
      </c>
      <c r="D684" s="176" t="s">
        <v>359</v>
      </c>
      <c r="E684" s="197">
        <v>2460</v>
      </c>
      <c r="F684" s="177">
        <v>7.6224508618705187</v>
      </c>
      <c r="G684" s="177">
        <v>18751.229120201475</v>
      </c>
      <c r="H684" s="216"/>
      <c r="I684" s="176" t="s">
        <v>366</v>
      </c>
      <c r="J684" s="197">
        <v>390</v>
      </c>
      <c r="K684" s="198">
        <v>7.6224508618705187</v>
      </c>
      <c r="L684" s="146">
        <v>2972.7558361295023</v>
      </c>
      <c r="M684" s="178"/>
      <c r="N684" s="176" t="s">
        <v>366</v>
      </c>
      <c r="O684" s="197">
        <v>690</v>
      </c>
      <c r="P684" s="146">
        <v>7.6224508618705187</v>
      </c>
      <c r="Q684" s="146">
        <v>5259.4910946906575</v>
      </c>
      <c r="R684" s="30"/>
      <c r="S684" s="176" t="s">
        <v>366</v>
      </c>
      <c r="T684" s="197">
        <v>690</v>
      </c>
      <c r="U684" s="146">
        <v>7.6224508618705187</v>
      </c>
      <c r="V684" s="146">
        <v>5259.4910946906575</v>
      </c>
      <c r="W684" s="30"/>
      <c r="X684" s="176" t="s">
        <v>366</v>
      </c>
      <c r="Y684" s="197">
        <v>690</v>
      </c>
      <c r="Z684" s="146">
        <v>7.6224508618705187</v>
      </c>
      <c r="AA684" s="146">
        <v>5259.4910946906575</v>
      </c>
      <c r="AB684" s="216"/>
      <c r="AC684" s="218"/>
      <c r="AD684" s="176"/>
      <c r="AE684" s="197"/>
      <c r="AF684" s="198"/>
      <c r="AG684" s="146"/>
      <c r="AH684" s="200"/>
      <c r="AI684" s="176"/>
      <c r="AJ684" s="197"/>
      <c r="AK684" s="146"/>
      <c r="AL684" s="146"/>
      <c r="AM684" s="32"/>
      <c r="AN684" s="176"/>
      <c r="AO684" s="197"/>
      <c r="AP684" s="146"/>
      <c r="AQ684" s="146"/>
      <c r="AR684" s="32"/>
      <c r="AS684" s="176"/>
      <c r="AT684" s="197"/>
      <c r="AU684" s="146"/>
      <c r="AV684" s="146"/>
      <c r="AW684" s="30"/>
      <c r="AX684" s="176"/>
      <c r="AY684" s="197"/>
      <c r="AZ684" s="177"/>
      <c r="BA684" s="56">
        <f t="shared" si="24"/>
        <v>0</v>
      </c>
      <c r="BB684" s="9"/>
    </row>
    <row r="685" spans="1:54" ht="43.5" x14ac:dyDescent="0.35">
      <c r="A685" s="54"/>
      <c r="B685" s="352" t="s">
        <v>405</v>
      </c>
      <c r="C685" s="189"/>
      <c r="D685" s="202"/>
      <c r="E685" s="203">
        <v>0</v>
      </c>
      <c r="F685" s="204">
        <v>0</v>
      </c>
      <c r="G685" s="204">
        <f>SUM(G688:G689)</f>
        <v>21733.131897365223</v>
      </c>
      <c r="H685" s="189"/>
      <c r="I685" s="202"/>
      <c r="J685" s="203"/>
      <c r="K685" s="280"/>
      <c r="L685" s="206">
        <f>SUM(L688:L689)</f>
        <v>5433.2829743413058</v>
      </c>
      <c r="M685" s="207"/>
      <c r="N685" s="202"/>
      <c r="O685" s="203"/>
      <c r="P685" s="281"/>
      <c r="Q685" s="206">
        <f>SUM(Q688:Q689)</f>
        <v>5433.2829743413058</v>
      </c>
      <c r="R685" s="194"/>
      <c r="S685" s="202"/>
      <c r="T685" s="203"/>
      <c r="U685" s="281"/>
      <c r="V685" s="206">
        <f>SUM(V688:V689)</f>
        <v>5433.2829743413058</v>
      </c>
      <c r="W685" s="194"/>
      <c r="X685" s="202"/>
      <c r="Y685" s="203"/>
      <c r="Z685" s="281"/>
      <c r="AA685" s="206">
        <f>SUM(AA688:AA689)</f>
        <v>5433.2829743413058</v>
      </c>
      <c r="AB685" s="189"/>
      <c r="AC685" s="195"/>
      <c r="AD685" s="202"/>
      <c r="AE685" s="203"/>
      <c r="AF685" s="280"/>
      <c r="AG685" s="206">
        <v>0</v>
      </c>
      <c r="AH685" s="209"/>
      <c r="AI685" s="202"/>
      <c r="AJ685" s="203"/>
      <c r="AK685" s="281"/>
      <c r="AL685" s="206"/>
      <c r="AM685" s="196"/>
      <c r="AN685" s="202"/>
      <c r="AO685" s="203"/>
      <c r="AP685" s="281"/>
      <c r="AQ685" s="206"/>
      <c r="AR685" s="196"/>
      <c r="AS685" s="202"/>
      <c r="AT685" s="203"/>
      <c r="AU685" s="281"/>
      <c r="AV685" s="206"/>
      <c r="AW685" s="194"/>
      <c r="AX685" s="202"/>
      <c r="AY685" s="203"/>
      <c r="AZ685" s="204"/>
      <c r="BA685" s="193">
        <f t="shared" si="24"/>
        <v>0</v>
      </c>
      <c r="BB685" s="9"/>
    </row>
    <row r="686" spans="1:54" hidden="1" x14ac:dyDescent="0.35">
      <c r="A686" s="54"/>
      <c r="B686" s="210" t="s">
        <v>202</v>
      </c>
      <c r="C686" s="42"/>
      <c r="D686" s="199"/>
      <c r="E686" s="197"/>
      <c r="F686" s="146"/>
      <c r="G686" s="146"/>
      <c r="H686" s="42"/>
      <c r="I686" s="199"/>
      <c r="J686" s="197"/>
      <c r="K686" s="198"/>
      <c r="L686" s="146"/>
      <c r="M686" s="178"/>
      <c r="N686" s="199"/>
      <c r="O686" s="197"/>
      <c r="P686" s="146"/>
      <c r="Q686" s="146"/>
      <c r="R686" s="30"/>
      <c r="S686" s="199"/>
      <c r="T686" s="197"/>
      <c r="U686" s="146"/>
      <c r="V686" s="146"/>
      <c r="W686" s="30"/>
      <c r="X686" s="199"/>
      <c r="Y686" s="197"/>
      <c r="Z686" s="146"/>
      <c r="AA686" s="146"/>
      <c r="AB686" s="42"/>
      <c r="AC686" s="46"/>
      <c r="AD686" s="199"/>
      <c r="AE686" s="197"/>
      <c r="AF686" s="198"/>
      <c r="AG686" s="146"/>
      <c r="AH686" s="200"/>
      <c r="AI686" s="199"/>
      <c r="AJ686" s="197"/>
      <c r="AK686" s="146"/>
      <c r="AL686" s="146"/>
      <c r="AM686" s="32"/>
      <c r="AN686" s="199"/>
      <c r="AO686" s="197"/>
      <c r="AP686" s="146"/>
      <c r="AQ686" s="146"/>
      <c r="AR686" s="32"/>
      <c r="AS686" s="199"/>
      <c r="AT686" s="197"/>
      <c r="AU686" s="146"/>
      <c r="AV686" s="146"/>
      <c r="AW686" s="30"/>
      <c r="AX686" s="199"/>
      <c r="AY686" s="197"/>
      <c r="AZ686" s="146"/>
      <c r="BA686" s="56">
        <f t="shared" si="24"/>
        <v>0</v>
      </c>
      <c r="BB686" s="9"/>
    </row>
    <row r="687" spans="1:54" hidden="1" x14ac:dyDescent="0.35">
      <c r="A687" s="54"/>
      <c r="B687" s="55" t="s">
        <v>203</v>
      </c>
      <c r="C687" s="42"/>
      <c r="D687" s="199"/>
      <c r="E687" s="197">
        <v>0</v>
      </c>
      <c r="F687" s="177">
        <v>0</v>
      </c>
      <c r="G687" s="177">
        <v>0</v>
      </c>
      <c r="H687" s="42"/>
      <c r="I687" s="199"/>
      <c r="J687" s="197"/>
      <c r="K687" s="198"/>
      <c r="L687" s="146"/>
      <c r="M687" s="178"/>
      <c r="N687" s="199"/>
      <c r="O687" s="197"/>
      <c r="P687" s="146"/>
      <c r="Q687" s="146"/>
      <c r="R687" s="30"/>
      <c r="S687" s="199"/>
      <c r="T687" s="197"/>
      <c r="U687" s="146"/>
      <c r="V687" s="146"/>
      <c r="W687" s="30"/>
      <c r="X687" s="199"/>
      <c r="Y687" s="197"/>
      <c r="Z687" s="146"/>
      <c r="AA687" s="146"/>
      <c r="AB687" s="42"/>
      <c r="AC687" s="46"/>
      <c r="AD687" s="199"/>
      <c r="AE687" s="197"/>
      <c r="AF687" s="198"/>
      <c r="AG687" s="146"/>
      <c r="AH687" s="200"/>
      <c r="AI687" s="199"/>
      <c r="AJ687" s="197"/>
      <c r="AK687" s="146"/>
      <c r="AL687" s="146"/>
      <c r="AM687" s="32"/>
      <c r="AN687" s="199"/>
      <c r="AO687" s="197"/>
      <c r="AP687" s="146"/>
      <c r="AQ687" s="146"/>
      <c r="AR687" s="32"/>
      <c r="AS687" s="199"/>
      <c r="AT687" s="197"/>
      <c r="AU687" s="146"/>
      <c r="AV687" s="146"/>
      <c r="AW687" s="30"/>
      <c r="AX687" s="199"/>
      <c r="AY687" s="197"/>
      <c r="AZ687" s="177"/>
      <c r="BA687" s="56">
        <f t="shared" si="24"/>
        <v>0</v>
      </c>
      <c r="BB687" s="9"/>
    </row>
    <row r="688" spans="1:54" x14ac:dyDescent="0.35">
      <c r="A688" s="54"/>
      <c r="B688" s="174" t="s">
        <v>406</v>
      </c>
      <c r="C688" s="290" t="s">
        <v>27</v>
      </c>
      <c r="D688" s="176" t="s">
        <v>56</v>
      </c>
      <c r="E688" s="197">
        <v>432</v>
      </c>
      <c r="F688" s="177">
        <v>35.063273964604385</v>
      </c>
      <c r="G688" s="177">
        <v>15147.334352709095</v>
      </c>
      <c r="H688" s="290"/>
      <c r="I688" s="176" t="s">
        <v>56</v>
      </c>
      <c r="J688" s="291">
        <v>108</v>
      </c>
      <c r="K688" s="306">
        <v>35.063273964604385</v>
      </c>
      <c r="L688" s="146">
        <v>3786.8335881772737</v>
      </c>
      <c r="M688" s="178"/>
      <c r="N688" s="176" t="s">
        <v>56</v>
      </c>
      <c r="O688" s="291">
        <v>108</v>
      </c>
      <c r="P688" s="307">
        <v>35.063273964604385</v>
      </c>
      <c r="Q688" s="146">
        <v>3786.8335881772737</v>
      </c>
      <c r="R688" s="30"/>
      <c r="S688" s="176" t="s">
        <v>56</v>
      </c>
      <c r="T688" s="291">
        <v>108</v>
      </c>
      <c r="U688" s="307">
        <v>35.063273964604385</v>
      </c>
      <c r="V688" s="146">
        <v>3786.8335881772737</v>
      </c>
      <c r="W688" s="30"/>
      <c r="X688" s="176" t="s">
        <v>56</v>
      </c>
      <c r="Y688" s="291">
        <v>108</v>
      </c>
      <c r="Z688" s="307">
        <v>35.063273964604385</v>
      </c>
      <c r="AA688" s="146">
        <v>3786.8335881772737</v>
      </c>
      <c r="AB688" s="290"/>
      <c r="AC688" s="218"/>
      <c r="AD688" s="176"/>
      <c r="AE688" s="291"/>
      <c r="AF688" s="306"/>
      <c r="AG688" s="146"/>
      <c r="AH688" s="200"/>
      <c r="AI688" s="176"/>
      <c r="AJ688" s="291"/>
      <c r="AK688" s="307"/>
      <c r="AL688" s="146"/>
      <c r="AM688" s="32"/>
      <c r="AN688" s="176"/>
      <c r="AO688" s="291"/>
      <c r="AP688" s="307"/>
      <c r="AQ688" s="146"/>
      <c r="AR688" s="32"/>
      <c r="AS688" s="176"/>
      <c r="AT688" s="291"/>
      <c r="AU688" s="307"/>
      <c r="AV688" s="146"/>
      <c r="AW688" s="30"/>
      <c r="AX688" s="176"/>
      <c r="AY688" s="197"/>
      <c r="AZ688" s="177"/>
      <c r="BA688" s="56">
        <f t="shared" si="24"/>
        <v>0</v>
      </c>
      <c r="BB688" s="9"/>
    </row>
    <row r="689" spans="1:54" x14ac:dyDescent="0.35">
      <c r="A689" s="54"/>
      <c r="B689" s="174" t="s">
        <v>407</v>
      </c>
      <c r="C689" s="290" t="s">
        <v>27</v>
      </c>
      <c r="D689" s="176" t="s">
        <v>56</v>
      </c>
      <c r="E689" s="197">
        <v>72</v>
      </c>
      <c r="F689" s="177">
        <v>91.469410342446224</v>
      </c>
      <c r="G689" s="177">
        <v>6585.7975446561286</v>
      </c>
      <c r="H689" s="290"/>
      <c r="I689" s="176" t="s">
        <v>408</v>
      </c>
      <c r="J689" s="291">
        <v>18</v>
      </c>
      <c r="K689" s="306">
        <v>91.469410342446224</v>
      </c>
      <c r="L689" s="146">
        <v>1646.4493861640321</v>
      </c>
      <c r="M689" s="178"/>
      <c r="N689" s="176" t="s">
        <v>408</v>
      </c>
      <c r="O689" s="291">
        <v>18</v>
      </c>
      <c r="P689" s="307">
        <v>91.469410342446224</v>
      </c>
      <c r="Q689" s="146">
        <v>1646.4493861640321</v>
      </c>
      <c r="R689" s="30"/>
      <c r="S689" s="176" t="s">
        <v>408</v>
      </c>
      <c r="T689" s="291">
        <v>18</v>
      </c>
      <c r="U689" s="307">
        <v>91.469410342446224</v>
      </c>
      <c r="V689" s="146">
        <v>1646.4493861640321</v>
      </c>
      <c r="W689" s="30"/>
      <c r="X689" s="176" t="s">
        <v>408</v>
      </c>
      <c r="Y689" s="291">
        <v>18</v>
      </c>
      <c r="Z689" s="307">
        <v>91.469410342446224</v>
      </c>
      <c r="AA689" s="146">
        <v>1646.4493861640321</v>
      </c>
      <c r="AB689" s="290"/>
      <c r="AC689" s="218"/>
      <c r="AD689" s="176"/>
      <c r="AE689" s="291"/>
      <c r="AF689" s="306"/>
      <c r="AG689" s="146"/>
      <c r="AH689" s="200"/>
      <c r="AI689" s="176"/>
      <c r="AJ689" s="291"/>
      <c r="AK689" s="307"/>
      <c r="AL689" s="146"/>
      <c r="AM689" s="32"/>
      <c r="AN689" s="176"/>
      <c r="AO689" s="291"/>
      <c r="AP689" s="307"/>
      <c r="AQ689" s="146"/>
      <c r="AR689" s="32"/>
      <c r="AS689" s="176"/>
      <c r="AT689" s="291"/>
      <c r="AU689" s="307"/>
      <c r="AV689" s="146"/>
      <c r="AW689" s="30"/>
      <c r="AX689" s="176"/>
      <c r="AY689" s="197"/>
      <c r="AZ689" s="177"/>
      <c r="BA689" s="56">
        <f t="shared" si="24"/>
        <v>0</v>
      </c>
      <c r="BB689" s="9"/>
    </row>
    <row r="690" spans="1:54" hidden="1" x14ac:dyDescent="0.35">
      <c r="A690" s="54"/>
      <c r="B690" s="55" t="s">
        <v>211</v>
      </c>
      <c r="C690" s="216"/>
      <c r="D690" s="176"/>
      <c r="E690" s="197">
        <v>0</v>
      </c>
      <c r="F690" s="177">
        <v>0</v>
      </c>
      <c r="G690" s="177">
        <v>0</v>
      </c>
      <c r="H690" s="216"/>
      <c r="I690" s="176"/>
      <c r="J690" s="291"/>
      <c r="K690" s="306"/>
      <c r="L690" s="146"/>
      <c r="M690" s="178"/>
      <c r="N690" s="176"/>
      <c r="O690" s="285"/>
      <c r="P690" s="307"/>
      <c r="Q690" s="146"/>
      <c r="R690" s="30"/>
      <c r="S690" s="176"/>
      <c r="T690" s="285"/>
      <c r="U690" s="307"/>
      <c r="V690" s="146"/>
      <c r="W690" s="30"/>
      <c r="X690" s="176"/>
      <c r="Y690" s="285"/>
      <c r="Z690" s="307"/>
      <c r="AA690" s="146"/>
      <c r="AB690" s="216"/>
      <c r="AC690" s="218"/>
      <c r="AD690" s="176"/>
      <c r="AE690" s="291"/>
      <c r="AF690" s="306"/>
      <c r="AG690" s="146"/>
      <c r="AH690" s="200"/>
      <c r="AI690" s="176"/>
      <c r="AJ690" s="285"/>
      <c r="AK690" s="307"/>
      <c r="AL690" s="146"/>
      <c r="AM690" s="32"/>
      <c r="AN690" s="176"/>
      <c r="AO690" s="285"/>
      <c r="AP690" s="307"/>
      <c r="AQ690" s="146"/>
      <c r="AR690" s="32"/>
      <c r="AS690" s="176"/>
      <c r="AT690" s="285"/>
      <c r="AU690" s="307"/>
      <c r="AV690" s="146"/>
      <c r="AW690" s="30"/>
      <c r="AX690" s="176"/>
      <c r="AY690" s="197"/>
      <c r="AZ690" s="177"/>
      <c r="BA690" s="56">
        <f t="shared" si="24"/>
        <v>0</v>
      </c>
      <c r="BB690" s="9"/>
    </row>
    <row r="691" spans="1:54" hidden="1" x14ac:dyDescent="0.35">
      <c r="A691" s="54"/>
      <c r="B691" s="174" t="s">
        <v>246</v>
      </c>
      <c r="C691" s="104" t="s">
        <v>27</v>
      </c>
      <c r="D691" s="176"/>
      <c r="E691" s="197">
        <v>0</v>
      </c>
      <c r="F691" s="177">
        <v>0</v>
      </c>
      <c r="G691" s="177">
        <v>0</v>
      </c>
      <c r="H691" s="104"/>
      <c r="I691" s="176"/>
      <c r="J691" s="291"/>
      <c r="K691" s="306"/>
      <c r="L691" s="146"/>
      <c r="M691" s="178"/>
      <c r="N691" s="176"/>
      <c r="O691" s="285"/>
      <c r="P691" s="307"/>
      <c r="Q691" s="146">
        <v>0</v>
      </c>
      <c r="R691" s="30"/>
      <c r="S691" s="176"/>
      <c r="T691" s="285"/>
      <c r="U691" s="307"/>
      <c r="V691" s="146">
        <v>0</v>
      </c>
      <c r="W691" s="30"/>
      <c r="X691" s="176"/>
      <c r="Y691" s="285"/>
      <c r="Z691" s="307"/>
      <c r="AA691" s="146">
        <v>0</v>
      </c>
      <c r="AB691" s="104"/>
      <c r="AC691" s="90"/>
      <c r="AD691" s="176"/>
      <c r="AE691" s="291"/>
      <c r="AF691" s="306"/>
      <c r="AG691" s="146"/>
      <c r="AH691" s="200"/>
      <c r="AI691" s="176"/>
      <c r="AJ691" s="285"/>
      <c r="AK691" s="307"/>
      <c r="AL691" s="146"/>
      <c r="AM691" s="32"/>
      <c r="AN691" s="176"/>
      <c r="AO691" s="285"/>
      <c r="AP691" s="307"/>
      <c r="AQ691" s="146"/>
      <c r="AR691" s="32"/>
      <c r="AS691" s="176"/>
      <c r="AT691" s="285"/>
      <c r="AU691" s="307"/>
      <c r="AV691" s="146"/>
      <c r="AW691" s="30"/>
      <c r="AX691" s="176"/>
      <c r="AY691" s="197"/>
      <c r="AZ691" s="177"/>
      <c r="BA691" s="56">
        <f t="shared" si="24"/>
        <v>0</v>
      </c>
      <c r="BB691" s="9"/>
    </row>
    <row r="692" spans="1:54" x14ac:dyDescent="0.35">
      <c r="A692" s="54"/>
      <c r="B692" s="353" t="s">
        <v>409</v>
      </c>
      <c r="C692" s="189"/>
      <c r="D692" s="202"/>
      <c r="E692" s="203">
        <v>0</v>
      </c>
      <c r="F692" s="204">
        <v>0</v>
      </c>
      <c r="G692" s="204">
        <f>SUM(G695:G698)</f>
        <v>7683.4304687654831</v>
      </c>
      <c r="H692" s="189"/>
      <c r="I692" s="202"/>
      <c r="J692" s="303"/>
      <c r="K692" s="304"/>
      <c r="L692" s="206">
        <f>SUM(L695:L698)</f>
        <v>1920.8576171913708</v>
      </c>
      <c r="M692" s="207"/>
      <c r="N692" s="202"/>
      <c r="O692" s="303"/>
      <c r="P692" s="305"/>
      <c r="Q692" s="206">
        <f>SUM(Q695:Q698)</f>
        <v>1920.8576171913708</v>
      </c>
      <c r="R692" s="194"/>
      <c r="S692" s="202"/>
      <c r="T692" s="303"/>
      <c r="U692" s="305"/>
      <c r="V692" s="206">
        <f>SUM(V695:V698)</f>
        <v>1920.8576171913708</v>
      </c>
      <c r="W692" s="194"/>
      <c r="X692" s="202"/>
      <c r="Y692" s="303"/>
      <c r="Z692" s="305"/>
      <c r="AA692" s="206">
        <f>SUM(AA695:AA698)</f>
        <v>1920.8576171913708</v>
      </c>
      <c r="AB692" s="189"/>
      <c r="AC692" s="195"/>
      <c r="AD692" s="202"/>
      <c r="AE692" s="303"/>
      <c r="AF692" s="304"/>
      <c r="AG692" s="206">
        <v>1415.03</v>
      </c>
      <c r="AH692" s="209"/>
      <c r="AI692" s="202"/>
      <c r="AJ692" s="303"/>
      <c r="AK692" s="305"/>
      <c r="AL692" s="206"/>
      <c r="AM692" s="196"/>
      <c r="AN692" s="202"/>
      <c r="AO692" s="303"/>
      <c r="AP692" s="305"/>
      <c r="AQ692" s="206"/>
      <c r="AR692" s="196"/>
      <c r="AS692" s="202"/>
      <c r="AT692" s="303"/>
      <c r="AU692" s="305"/>
      <c r="AV692" s="206"/>
      <c r="AW692" s="194"/>
      <c r="AX692" s="202"/>
      <c r="AY692" s="203"/>
      <c r="AZ692" s="204"/>
      <c r="BA692" s="193">
        <f t="shared" si="24"/>
        <v>1415.03</v>
      </c>
      <c r="BB692" s="9"/>
    </row>
    <row r="693" spans="1:54" hidden="1" x14ac:dyDescent="0.35">
      <c r="A693" s="54"/>
      <c r="B693" s="210" t="s">
        <v>202</v>
      </c>
      <c r="C693" s="42"/>
      <c r="D693" s="199"/>
      <c r="E693" s="197"/>
      <c r="F693" s="146"/>
      <c r="G693" s="146"/>
      <c r="H693" s="42"/>
      <c r="I693" s="199"/>
      <c r="J693" s="197"/>
      <c r="K693" s="198"/>
      <c r="L693" s="146"/>
      <c r="M693" s="178"/>
      <c r="N693" s="199"/>
      <c r="O693" s="197"/>
      <c r="P693" s="146"/>
      <c r="Q693" s="146"/>
      <c r="R693" s="30"/>
      <c r="S693" s="199"/>
      <c r="T693" s="197"/>
      <c r="U693" s="146"/>
      <c r="V693" s="146"/>
      <c r="W693" s="30"/>
      <c r="X693" s="199"/>
      <c r="Y693" s="197"/>
      <c r="Z693" s="146"/>
      <c r="AA693" s="146"/>
      <c r="AB693" s="42"/>
      <c r="AC693" s="46"/>
      <c r="AD693" s="199"/>
      <c r="AE693" s="197"/>
      <c r="AF693" s="198"/>
      <c r="AG693" s="146"/>
      <c r="AH693" s="200"/>
      <c r="AI693" s="199"/>
      <c r="AJ693" s="197"/>
      <c r="AK693" s="146"/>
      <c r="AL693" s="146"/>
      <c r="AM693" s="32"/>
      <c r="AN693" s="199"/>
      <c r="AO693" s="197"/>
      <c r="AP693" s="146"/>
      <c r="AQ693" s="146"/>
      <c r="AR693" s="32"/>
      <c r="AS693" s="199"/>
      <c r="AT693" s="197"/>
      <c r="AU693" s="146"/>
      <c r="AV693" s="146"/>
      <c r="AW693" s="30"/>
      <c r="AX693" s="199"/>
      <c r="AY693" s="197"/>
      <c r="AZ693" s="146"/>
      <c r="BA693" s="56">
        <f t="shared" si="24"/>
        <v>0</v>
      </c>
      <c r="BB693" s="9"/>
    </row>
    <row r="694" spans="1:54" hidden="1" x14ac:dyDescent="0.35">
      <c r="A694" s="54"/>
      <c r="B694" s="55" t="s">
        <v>203</v>
      </c>
      <c r="C694" s="42"/>
      <c r="D694" s="199"/>
      <c r="E694" s="197">
        <v>0</v>
      </c>
      <c r="F694" s="177">
        <v>0</v>
      </c>
      <c r="G694" s="177">
        <v>0</v>
      </c>
      <c r="H694" s="42"/>
      <c r="I694" s="199"/>
      <c r="J694" s="197"/>
      <c r="K694" s="198"/>
      <c r="L694" s="146"/>
      <c r="M694" s="178"/>
      <c r="N694" s="199"/>
      <c r="O694" s="197"/>
      <c r="P694" s="146"/>
      <c r="Q694" s="146"/>
      <c r="R694" s="30"/>
      <c r="S694" s="199"/>
      <c r="T694" s="197"/>
      <c r="U694" s="146"/>
      <c r="V694" s="146"/>
      <c r="W694" s="30"/>
      <c r="X694" s="199"/>
      <c r="Y694" s="197"/>
      <c r="Z694" s="146"/>
      <c r="AA694" s="146"/>
      <c r="AB694" s="42"/>
      <c r="AC694" s="46"/>
      <c r="AD694" s="199"/>
      <c r="AE694" s="197"/>
      <c r="AF694" s="198"/>
      <c r="AG694" s="146"/>
      <c r="AH694" s="200"/>
      <c r="AI694" s="199"/>
      <c r="AJ694" s="197"/>
      <c r="AK694" s="146"/>
      <c r="AL694" s="146"/>
      <c r="AM694" s="32"/>
      <c r="AN694" s="199"/>
      <c r="AO694" s="197"/>
      <c r="AP694" s="146"/>
      <c r="AQ694" s="146"/>
      <c r="AR694" s="32"/>
      <c r="AS694" s="199"/>
      <c r="AT694" s="197"/>
      <c r="AU694" s="146"/>
      <c r="AV694" s="146"/>
      <c r="AW694" s="30"/>
      <c r="AX694" s="199"/>
      <c r="AY694" s="197"/>
      <c r="AZ694" s="177"/>
      <c r="BA694" s="56">
        <f t="shared" si="24"/>
        <v>0</v>
      </c>
      <c r="BB694" s="9"/>
    </row>
    <row r="695" spans="1:54" x14ac:dyDescent="0.35">
      <c r="A695" s="54"/>
      <c r="B695" s="174" t="s">
        <v>410</v>
      </c>
      <c r="C695" s="290" t="s">
        <v>27</v>
      </c>
      <c r="D695" s="176" t="s">
        <v>56</v>
      </c>
      <c r="E695" s="197">
        <v>288</v>
      </c>
      <c r="F695" s="177">
        <v>22.867352585611556</v>
      </c>
      <c r="G695" s="177">
        <v>6585.7975446561286</v>
      </c>
      <c r="H695" s="290"/>
      <c r="I695" s="176" t="s">
        <v>56</v>
      </c>
      <c r="J695" s="291">
        <v>72</v>
      </c>
      <c r="K695" s="198">
        <v>22.867352585611556</v>
      </c>
      <c r="L695" s="146">
        <v>1646.4493861640321</v>
      </c>
      <c r="M695" s="178"/>
      <c r="N695" s="176" t="s">
        <v>56</v>
      </c>
      <c r="O695" s="291">
        <v>72</v>
      </c>
      <c r="P695" s="146">
        <v>22.867352585611556</v>
      </c>
      <c r="Q695" s="146">
        <v>1646.4493861640321</v>
      </c>
      <c r="R695" s="30"/>
      <c r="S695" s="176" t="s">
        <v>56</v>
      </c>
      <c r="T695" s="291">
        <v>72</v>
      </c>
      <c r="U695" s="146">
        <v>22.867352585611556</v>
      </c>
      <c r="V695" s="146">
        <v>1646.4493861640321</v>
      </c>
      <c r="W695" s="30"/>
      <c r="X695" s="176" t="s">
        <v>56</v>
      </c>
      <c r="Y695" s="291">
        <v>72</v>
      </c>
      <c r="Z695" s="146">
        <v>22.867352585611556</v>
      </c>
      <c r="AA695" s="146">
        <v>1646.4493861640321</v>
      </c>
      <c r="AB695" s="290"/>
      <c r="AC695" s="218"/>
      <c r="AD695" s="176"/>
      <c r="AE695" s="291"/>
      <c r="AF695" s="198"/>
      <c r="AG695" s="146"/>
      <c r="AH695" s="200"/>
      <c r="AI695" s="176"/>
      <c r="AJ695" s="291"/>
      <c r="AK695" s="146"/>
      <c r="AL695" s="146"/>
      <c r="AM695" s="32"/>
      <c r="AN695" s="176"/>
      <c r="AO695" s="291"/>
      <c r="AP695" s="146"/>
      <c r="AQ695" s="146"/>
      <c r="AR695" s="32"/>
      <c r="AS695" s="176"/>
      <c r="AT695" s="291"/>
      <c r="AU695" s="146"/>
      <c r="AV695" s="146"/>
      <c r="AW695" s="30"/>
      <c r="AX695" s="176"/>
      <c r="AY695" s="197"/>
      <c r="AZ695" s="177"/>
      <c r="BA695" s="56">
        <f t="shared" si="24"/>
        <v>0</v>
      </c>
      <c r="BB695" s="9"/>
    </row>
    <row r="696" spans="1:54" x14ac:dyDescent="0.35">
      <c r="A696" s="54"/>
      <c r="B696" s="174" t="s">
        <v>411</v>
      </c>
      <c r="C696" s="290" t="s">
        <v>27</v>
      </c>
      <c r="D696" s="176" t="s">
        <v>56</v>
      </c>
      <c r="E696" s="197">
        <v>72</v>
      </c>
      <c r="F696" s="177">
        <v>15.244901723741037</v>
      </c>
      <c r="G696" s="177">
        <v>1097.6329241093547</v>
      </c>
      <c r="H696" s="290"/>
      <c r="I696" s="176" t="s">
        <v>412</v>
      </c>
      <c r="J696" s="291">
        <v>18</v>
      </c>
      <c r="K696" s="198">
        <v>15.244901723741037</v>
      </c>
      <c r="L696" s="146">
        <v>274.40823102733867</v>
      </c>
      <c r="M696" s="178"/>
      <c r="N696" s="176" t="s">
        <v>412</v>
      </c>
      <c r="O696" s="291">
        <v>18</v>
      </c>
      <c r="P696" s="146">
        <v>15.244901723741037</v>
      </c>
      <c r="Q696" s="146">
        <v>274.40823102733867</v>
      </c>
      <c r="R696" s="30"/>
      <c r="S696" s="176" t="s">
        <v>412</v>
      </c>
      <c r="T696" s="291">
        <v>18</v>
      </c>
      <c r="U696" s="146">
        <v>15.244901723741037</v>
      </c>
      <c r="V696" s="146">
        <v>274.40823102733867</v>
      </c>
      <c r="W696" s="30"/>
      <c r="X696" s="176" t="s">
        <v>412</v>
      </c>
      <c r="Y696" s="291">
        <v>18</v>
      </c>
      <c r="Z696" s="146">
        <v>15.244901723741037</v>
      </c>
      <c r="AA696" s="146">
        <v>274.40823102733867</v>
      </c>
      <c r="AB696" s="290"/>
      <c r="AC696" s="218"/>
      <c r="AD696" s="176"/>
      <c r="AE696" s="291"/>
      <c r="AF696" s="198"/>
      <c r="AG696" s="146"/>
      <c r="AH696" s="200"/>
      <c r="AI696" s="176"/>
      <c r="AJ696" s="291"/>
      <c r="AK696" s="146"/>
      <c r="AL696" s="146"/>
      <c r="AM696" s="32"/>
      <c r="AN696" s="176"/>
      <c r="AO696" s="291"/>
      <c r="AP696" s="146"/>
      <c r="AQ696" s="146"/>
      <c r="AR696" s="32"/>
      <c r="AS696" s="176"/>
      <c r="AT696" s="291"/>
      <c r="AU696" s="146"/>
      <c r="AV696" s="146"/>
      <c r="AW696" s="30"/>
      <c r="AX696" s="176"/>
      <c r="AY696" s="197"/>
      <c r="AZ696" s="177"/>
      <c r="BA696" s="56">
        <f t="shared" si="24"/>
        <v>0</v>
      </c>
      <c r="BB696" s="9"/>
    </row>
    <row r="697" spans="1:54" x14ac:dyDescent="0.35">
      <c r="A697" s="54"/>
      <c r="B697" s="55" t="s">
        <v>211</v>
      </c>
      <c r="C697" s="216"/>
      <c r="D697" s="176"/>
      <c r="E697" s="197">
        <v>0</v>
      </c>
      <c r="F697" s="177">
        <v>0</v>
      </c>
      <c r="G697" s="177">
        <v>0</v>
      </c>
      <c r="H697" s="216"/>
      <c r="I697" s="176"/>
      <c r="J697" s="291"/>
      <c r="K697" s="306"/>
      <c r="L697" s="146"/>
      <c r="M697" s="178"/>
      <c r="N697" s="176"/>
      <c r="O697" s="285"/>
      <c r="P697" s="307"/>
      <c r="Q697" s="146">
        <v>0</v>
      </c>
      <c r="R697" s="30"/>
      <c r="S697" s="176"/>
      <c r="T697" s="285"/>
      <c r="U697" s="307"/>
      <c r="V697" s="146">
        <v>0</v>
      </c>
      <c r="W697" s="30"/>
      <c r="X697" s="176"/>
      <c r="Y697" s="285"/>
      <c r="Z697" s="307"/>
      <c r="AA697" s="146">
        <v>0</v>
      </c>
      <c r="AB697" s="216"/>
      <c r="AC697" s="218"/>
      <c r="AD697" s="176"/>
      <c r="AE697" s="291"/>
      <c r="AF697" s="306"/>
      <c r="AG697" s="146"/>
      <c r="AH697" s="200"/>
      <c r="AI697" s="176"/>
      <c r="AJ697" s="285"/>
      <c r="AK697" s="307"/>
      <c r="AL697" s="146"/>
      <c r="AM697" s="32"/>
      <c r="AN697" s="176"/>
      <c r="AO697" s="285"/>
      <c r="AP697" s="307"/>
      <c r="AQ697" s="146"/>
      <c r="AR697" s="32"/>
      <c r="AS697" s="176"/>
      <c r="AT697" s="285"/>
      <c r="AU697" s="307"/>
      <c r="AV697" s="146"/>
      <c r="AW697" s="30"/>
      <c r="AX697" s="176"/>
      <c r="AY697" s="197"/>
      <c r="AZ697" s="177"/>
      <c r="BA697" s="56">
        <f t="shared" si="24"/>
        <v>0</v>
      </c>
      <c r="BB697" s="9"/>
    </row>
    <row r="698" spans="1:54" x14ac:dyDescent="0.35">
      <c r="A698" s="54"/>
      <c r="B698" s="174" t="s">
        <v>246</v>
      </c>
      <c r="C698" s="104" t="s">
        <v>27</v>
      </c>
      <c r="D698" s="176"/>
      <c r="E698" s="197">
        <v>0</v>
      </c>
      <c r="F698" s="177">
        <v>0</v>
      </c>
      <c r="G698" s="177">
        <v>0</v>
      </c>
      <c r="H698" s="104"/>
      <c r="I698" s="176"/>
      <c r="J698" s="197"/>
      <c r="K698" s="198"/>
      <c r="L698" s="146">
        <v>0</v>
      </c>
      <c r="M698" s="178"/>
      <c r="N698" s="176"/>
      <c r="O698" s="197"/>
      <c r="P698" s="146"/>
      <c r="Q698" s="146">
        <v>0</v>
      </c>
      <c r="R698" s="30"/>
      <c r="S698" s="176" t="s">
        <v>359</v>
      </c>
      <c r="T698" s="197"/>
      <c r="U698" s="146"/>
      <c r="V698" s="146">
        <v>0</v>
      </c>
      <c r="W698" s="30"/>
      <c r="X698" s="176"/>
      <c r="Y698" s="197"/>
      <c r="Z698" s="146"/>
      <c r="AA698" s="146">
        <v>0</v>
      </c>
      <c r="AB698" s="104"/>
      <c r="AC698" s="90"/>
      <c r="AD698" s="176"/>
      <c r="AE698" s="197"/>
      <c r="AF698" s="198"/>
      <c r="AG698" s="146"/>
      <c r="AH698" s="200"/>
      <c r="AI698" s="176"/>
      <c r="AJ698" s="197"/>
      <c r="AK698" s="146"/>
      <c r="AL698" s="146"/>
      <c r="AM698" s="32"/>
      <c r="AN698" s="176"/>
      <c r="AO698" s="197"/>
      <c r="AP698" s="146"/>
      <c r="AQ698" s="146"/>
      <c r="AR698" s="32"/>
      <c r="AS698" s="176"/>
      <c r="AT698" s="197"/>
      <c r="AU698" s="146"/>
      <c r="AV698" s="146"/>
      <c r="AW698" s="30"/>
      <c r="AX698" s="176"/>
      <c r="AY698" s="197"/>
      <c r="AZ698" s="177"/>
      <c r="BA698" s="56">
        <f t="shared" si="24"/>
        <v>0</v>
      </c>
      <c r="BB698" s="9"/>
    </row>
    <row r="699" spans="1:54" x14ac:dyDescent="0.35">
      <c r="A699" s="54"/>
      <c r="B699" s="330" t="s">
        <v>413</v>
      </c>
      <c r="C699" s="354" t="s">
        <v>27</v>
      </c>
      <c r="D699" s="214"/>
      <c r="E699" s="203"/>
      <c r="F699" s="204"/>
      <c r="G699" s="204"/>
      <c r="H699" s="354"/>
      <c r="I699" s="214"/>
      <c r="J699" s="203"/>
      <c r="K699" s="257"/>
      <c r="L699" s="206"/>
      <c r="M699" s="207"/>
      <c r="N699" s="214"/>
      <c r="O699" s="203"/>
      <c r="P699" s="206"/>
      <c r="Q699" s="206"/>
      <c r="R699" s="194"/>
      <c r="S699" s="214"/>
      <c r="T699" s="203"/>
      <c r="U699" s="206"/>
      <c r="V699" s="206"/>
      <c r="W699" s="194"/>
      <c r="X699" s="214"/>
      <c r="Y699" s="203"/>
      <c r="Z699" s="206"/>
      <c r="AA699" s="206"/>
      <c r="AB699" s="354"/>
      <c r="AC699" s="195"/>
      <c r="AD699" s="214"/>
      <c r="AE699" s="203"/>
      <c r="AF699" s="257"/>
      <c r="AG699" s="206"/>
      <c r="AH699" s="209"/>
      <c r="AI699" s="214"/>
      <c r="AJ699" s="203"/>
      <c r="AK699" s="206"/>
      <c r="AL699" s="206"/>
      <c r="AM699" s="196"/>
      <c r="AN699" s="214"/>
      <c r="AO699" s="203"/>
      <c r="AP699" s="206"/>
      <c r="AQ699" s="206"/>
      <c r="AR699" s="196"/>
      <c r="AS699" s="214"/>
      <c r="AT699" s="203"/>
      <c r="AU699" s="206"/>
      <c r="AV699" s="206"/>
      <c r="AW699" s="194"/>
      <c r="AX699" s="214"/>
      <c r="AY699" s="203"/>
      <c r="AZ699" s="204"/>
      <c r="BA699" s="193">
        <f t="shared" si="24"/>
        <v>0</v>
      </c>
      <c r="BB699" s="9"/>
    </row>
    <row r="700" spans="1:54" x14ac:dyDescent="0.35">
      <c r="A700" s="259"/>
      <c r="B700" s="260" t="s">
        <v>386</v>
      </c>
      <c r="C700" s="261"/>
      <c r="D700" s="262"/>
      <c r="E700" s="263"/>
      <c r="F700" s="264"/>
      <c r="G700" s="265">
        <f>SUM(G613:G656)+SUM(G659,G666,G673,G679,G685,G692,G699)</f>
        <v>249939.0971391848</v>
      </c>
      <c r="H700" s="261"/>
      <c r="I700" s="262"/>
      <c r="J700" s="263"/>
      <c r="K700" s="264"/>
      <c r="L700" s="265">
        <f>SUM(L613:L656)+SUM(L659,L666,L673,L679,L685,L692,L699)</f>
        <v>24033.317776841599</v>
      </c>
      <c r="M700" s="30"/>
      <c r="N700" s="262"/>
      <c r="O700" s="263"/>
      <c r="P700" s="264"/>
      <c r="Q700" s="265">
        <f>SUM(Q613:Q656)+SUM(Q659,Q666,Q673,Q679,Q685,Q692,Q699)</f>
        <v>69490.870115078345</v>
      </c>
      <c r="R700" s="30"/>
      <c r="S700" s="262"/>
      <c r="T700" s="263"/>
      <c r="U700" s="264"/>
      <c r="V700" s="265">
        <f>SUM(V613:V656)+SUM(V659,V666,V673,V679,V685,V692,V699)</f>
        <v>72987.266157490332</v>
      </c>
      <c r="W700" s="30"/>
      <c r="X700" s="262"/>
      <c r="Y700" s="263"/>
      <c r="Z700" s="264"/>
      <c r="AA700" s="265">
        <f>SUM(AA613:AA656)+SUM(AA659,AA666,AA673,AA679,AA685,AA692,AA699)</f>
        <v>83427.64308977453</v>
      </c>
      <c r="AB700" s="261"/>
      <c r="AC700" s="266"/>
      <c r="AD700" s="262"/>
      <c r="AE700" s="263"/>
      <c r="AF700" s="264"/>
      <c r="AG700" s="265">
        <f>SUM(AG613:AG656)+SUM(AG659,AG666,AG673,AG679,AG685,AG692,AG699)</f>
        <v>19517.580173924063</v>
      </c>
      <c r="AH700" s="32"/>
      <c r="AI700" s="262"/>
      <c r="AJ700" s="263"/>
      <c r="AK700" s="264"/>
      <c r="AL700" s="265">
        <f>SUM(AL613:AL698)</f>
        <v>0</v>
      </c>
      <c r="AM700" s="32"/>
      <c r="AN700" s="262"/>
      <c r="AO700" s="263"/>
      <c r="AP700" s="264"/>
      <c r="AQ700" s="265">
        <f>SUM(AQ613:AQ698)</f>
        <v>0</v>
      </c>
      <c r="AR700" s="32"/>
      <c r="AS700" s="262"/>
      <c r="AT700" s="263"/>
      <c r="AU700" s="264"/>
      <c r="AV700" s="265">
        <f>SUM(AV613:AV698)</f>
        <v>0</v>
      </c>
      <c r="AW700" s="30"/>
      <c r="AX700" s="262"/>
      <c r="AY700" s="263"/>
      <c r="AZ700" s="264"/>
      <c r="BA700" s="265">
        <f>SUM(BA613:BA656)+SUM(BA659,BA666,BA673,BA679,BA685,BA692,BA699)</f>
        <v>19517.580173924063</v>
      </c>
      <c r="BB700" s="9"/>
    </row>
    <row r="701" spans="1:54" x14ac:dyDescent="0.35">
      <c r="A701" s="54"/>
      <c r="B701" s="341"/>
      <c r="C701" s="74"/>
      <c r="D701" s="75"/>
      <c r="E701" s="76"/>
      <c r="F701" s="56"/>
      <c r="G701" s="56"/>
      <c r="H701" s="74"/>
      <c r="I701" s="75"/>
      <c r="J701" s="76"/>
      <c r="K701" s="56"/>
      <c r="L701" s="56"/>
      <c r="M701" s="30"/>
      <c r="N701" s="75"/>
      <c r="O701" s="76"/>
      <c r="P701" s="56"/>
      <c r="Q701" s="56"/>
      <c r="R701" s="30"/>
      <c r="S701" s="75"/>
      <c r="T701" s="76"/>
      <c r="U701" s="56"/>
      <c r="V701" s="56"/>
      <c r="W701" s="30"/>
      <c r="X701" s="75"/>
      <c r="Y701" s="76"/>
      <c r="Z701" s="56"/>
      <c r="AA701" s="56"/>
      <c r="AB701" s="74"/>
      <c r="AC701" s="46"/>
      <c r="AD701" s="75"/>
      <c r="AE701" s="76"/>
      <c r="AF701" s="56"/>
      <c r="AG701" s="56"/>
      <c r="AH701" s="32"/>
      <c r="AI701" s="75"/>
      <c r="AJ701" s="76"/>
      <c r="AK701" s="56"/>
      <c r="AL701" s="56"/>
      <c r="AM701" s="32"/>
      <c r="AN701" s="75"/>
      <c r="AO701" s="76"/>
      <c r="AP701" s="56"/>
      <c r="AQ701" s="56"/>
      <c r="AR701" s="32"/>
      <c r="AS701" s="75"/>
      <c r="AT701" s="76"/>
      <c r="AU701" s="56"/>
      <c r="AV701" s="56"/>
      <c r="AW701" s="30"/>
      <c r="AX701" s="75"/>
      <c r="AY701" s="76"/>
      <c r="AZ701" s="56"/>
      <c r="BA701" s="56"/>
      <c r="BB701" s="9"/>
    </row>
    <row r="702" spans="1:54" x14ac:dyDescent="0.35">
      <c r="A702" s="259"/>
      <c r="B702" s="260" t="s">
        <v>414</v>
      </c>
      <c r="C702" s="261"/>
      <c r="D702" s="262"/>
      <c r="E702" s="263"/>
      <c r="F702" s="264"/>
      <c r="G702" s="265">
        <f>G700+G609</f>
        <v>708278.40681934042</v>
      </c>
      <c r="H702" s="261"/>
      <c r="I702" s="262"/>
      <c r="J702" s="263"/>
      <c r="K702" s="264"/>
      <c r="L702" s="265">
        <f>L700+L609</f>
        <v>319236.06783392065</v>
      </c>
      <c r="M702" s="30"/>
      <c r="N702" s="262"/>
      <c r="O702" s="263"/>
      <c r="P702" s="264"/>
      <c r="Q702" s="265">
        <f>Q700+Q609</f>
        <v>138303.45184521127</v>
      </c>
      <c r="R702" s="30"/>
      <c r="S702" s="262"/>
      <c r="T702" s="263"/>
      <c r="U702" s="264"/>
      <c r="V702" s="265">
        <f>V700+V609</f>
        <v>131023.32969904074</v>
      </c>
      <c r="W702" s="30"/>
      <c r="X702" s="262"/>
      <c r="Y702" s="263"/>
      <c r="Z702" s="264"/>
      <c r="AA702" s="265">
        <f>AA700+AA609</f>
        <v>119715.55744116777</v>
      </c>
      <c r="AB702" s="261"/>
      <c r="AC702" s="266"/>
      <c r="AD702" s="262"/>
      <c r="AE702" s="263"/>
      <c r="AF702" s="264"/>
      <c r="AG702" s="265">
        <f>AG700+AG609</f>
        <v>245640.61316083802</v>
      </c>
      <c r="AH702" s="32"/>
      <c r="AI702" s="262"/>
      <c r="AJ702" s="263"/>
      <c r="AK702" s="264"/>
      <c r="AL702" s="265">
        <f>AL700+AL609</f>
        <v>0</v>
      </c>
      <c r="AM702" s="32"/>
      <c r="AN702" s="262"/>
      <c r="AO702" s="263"/>
      <c r="AP702" s="264"/>
      <c r="AQ702" s="265">
        <f>AQ700+AQ609</f>
        <v>0</v>
      </c>
      <c r="AR702" s="32"/>
      <c r="AS702" s="262"/>
      <c r="AT702" s="263"/>
      <c r="AU702" s="264"/>
      <c r="AV702" s="265">
        <f>AV700+AV609</f>
        <v>0</v>
      </c>
      <c r="AW702" s="30"/>
      <c r="AX702" s="262"/>
      <c r="AY702" s="263"/>
      <c r="AZ702" s="264"/>
      <c r="BA702" s="265">
        <f>BA700+BA609</f>
        <v>245640.61316083802</v>
      </c>
      <c r="BB702" s="9"/>
    </row>
    <row r="703" spans="1:54" x14ac:dyDescent="0.35">
      <c r="A703" s="54"/>
      <c r="B703" s="341"/>
      <c r="C703" s="74"/>
      <c r="D703" s="75"/>
      <c r="E703" s="76"/>
      <c r="F703" s="56"/>
      <c r="G703" s="56"/>
      <c r="H703" s="74"/>
      <c r="I703" s="75"/>
      <c r="J703" s="76"/>
      <c r="K703" s="56"/>
      <c r="L703" s="56"/>
      <c r="M703" s="30"/>
      <c r="N703" s="75"/>
      <c r="O703" s="76"/>
      <c r="P703" s="56"/>
      <c r="Q703" s="56"/>
      <c r="R703" s="30"/>
      <c r="S703" s="75"/>
      <c r="T703" s="76"/>
      <c r="U703" s="56"/>
      <c r="V703" s="56"/>
      <c r="W703" s="30"/>
      <c r="X703" s="75"/>
      <c r="Y703" s="76"/>
      <c r="Z703" s="56"/>
      <c r="AA703" s="56"/>
      <c r="AB703" s="74"/>
      <c r="AC703" s="46"/>
      <c r="AD703" s="75"/>
      <c r="AE703" s="76"/>
      <c r="AF703" s="56"/>
      <c r="AG703" s="56"/>
      <c r="AH703" s="32"/>
      <c r="AI703" s="75"/>
      <c r="AJ703" s="76"/>
      <c r="AK703" s="56"/>
      <c r="AL703" s="56"/>
      <c r="AM703" s="32"/>
      <c r="AN703" s="75"/>
      <c r="AO703" s="76"/>
      <c r="AP703" s="56"/>
      <c r="AQ703" s="56"/>
      <c r="AR703" s="32"/>
      <c r="AS703" s="75"/>
      <c r="AT703" s="76"/>
      <c r="AU703" s="56"/>
      <c r="AV703" s="56"/>
      <c r="AW703" s="30"/>
      <c r="AX703" s="75"/>
      <c r="AY703" s="76"/>
      <c r="AZ703" s="56"/>
      <c r="BA703" s="56"/>
      <c r="BB703" s="9"/>
    </row>
    <row r="704" spans="1:54" ht="16.5" customHeight="1" x14ac:dyDescent="0.35">
      <c r="A704" s="54"/>
      <c r="B704" s="334" t="s">
        <v>415</v>
      </c>
      <c r="C704" s="106"/>
      <c r="D704" s="111"/>
      <c r="E704" s="112"/>
      <c r="F704" s="136"/>
      <c r="G704" s="118">
        <v>32134.14029642527</v>
      </c>
      <c r="H704" s="106"/>
      <c r="I704" s="111"/>
      <c r="J704" s="112"/>
      <c r="K704" s="136"/>
      <c r="L704" s="118">
        <v>9600.6174593290198</v>
      </c>
      <c r="M704" s="30"/>
      <c r="N704" s="111"/>
      <c r="O704" s="112"/>
      <c r="P704" s="136"/>
      <c r="Q704" s="118">
        <v>3905.4606294265732</v>
      </c>
      <c r="R704" s="114"/>
      <c r="S704" s="111"/>
      <c r="T704" s="112"/>
      <c r="U704" s="136"/>
      <c r="V704" s="118">
        <v>7920.566312618208</v>
      </c>
      <c r="W704" s="114"/>
      <c r="X704" s="111"/>
      <c r="Y704" s="112"/>
      <c r="Z704" s="136"/>
      <c r="AA704" s="118">
        <v>10707.495895051465</v>
      </c>
      <c r="AB704" s="106"/>
      <c r="AC704" s="115"/>
      <c r="AD704" s="111"/>
      <c r="AE704" s="112"/>
      <c r="AF704" s="136"/>
      <c r="AG704" s="118">
        <f>AG705+AG706</f>
        <v>9796.4151949061161</v>
      </c>
      <c r="AH704" s="32"/>
      <c r="AI704" s="111"/>
      <c r="AJ704" s="112"/>
      <c r="AK704" s="136"/>
      <c r="AL704" s="118">
        <f>AL705+AL706</f>
        <v>0</v>
      </c>
      <c r="AM704" s="116"/>
      <c r="AN704" s="111"/>
      <c r="AO704" s="112"/>
      <c r="AP704" s="136"/>
      <c r="AQ704" s="118">
        <f>AQ705+AQ706</f>
        <v>0</v>
      </c>
      <c r="AR704" s="116"/>
      <c r="AS704" s="111"/>
      <c r="AT704" s="112"/>
      <c r="AU704" s="136"/>
      <c r="AV704" s="118">
        <f>AV705+AV706</f>
        <v>0</v>
      </c>
      <c r="AW704" s="114"/>
      <c r="AX704" s="111"/>
      <c r="AY704" s="112"/>
      <c r="AZ704" s="136"/>
      <c r="BA704" s="118">
        <f>BA705+BA706</f>
        <v>9796.4151949061161</v>
      </c>
      <c r="BB704" s="9"/>
    </row>
    <row r="705" spans="1:54" x14ac:dyDescent="0.35">
      <c r="A705" s="54"/>
      <c r="B705" s="335" t="s">
        <v>339</v>
      </c>
      <c r="C705" s="106" t="s">
        <v>124</v>
      </c>
      <c r="D705" s="111" t="s">
        <v>28</v>
      </c>
      <c r="E705" s="112">
        <v>3.5606704509651244</v>
      </c>
      <c r="F705" s="136">
        <v>7052.5092990596486</v>
      </c>
      <c r="G705" s="123">
        <v>25111.661466318452</v>
      </c>
      <c r="H705" s="106"/>
      <c r="I705" s="111" t="s">
        <v>28</v>
      </c>
      <c r="J705" s="112">
        <v>0.99823301169493595</v>
      </c>
      <c r="K705" s="136">
        <v>6748.1324999999997</v>
      </c>
      <c r="L705" s="123">
        <v>6736.2086287914772</v>
      </c>
      <c r="M705" s="30"/>
      <c r="N705" s="111" t="s">
        <v>28</v>
      </c>
      <c r="O705" s="112">
        <v>0.30513155890180876</v>
      </c>
      <c r="P705" s="136">
        <v>6916.8358124999986</v>
      </c>
      <c r="Q705" s="123">
        <v>2110.5448941359837</v>
      </c>
      <c r="R705" s="114"/>
      <c r="S705" s="111" t="s">
        <v>28</v>
      </c>
      <c r="T705" s="112">
        <v>0.78386498682184391</v>
      </c>
      <c r="U705" s="136">
        <v>7089.7567078124985</v>
      </c>
      <c r="V705" s="123">
        <v>5557.4120483395236</v>
      </c>
      <c r="W705" s="114"/>
      <c r="X705" s="111" t="s">
        <v>28</v>
      </c>
      <c r="Y705" s="112">
        <v>1.473440893546536</v>
      </c>
      <c r="Z705" s="136">
        <v>7267.0006255078106</v>
      </c>
      <c r="AA705" s="123">
        <v>10707.495895051465</v>
      </c>
      <c r="AB705" s="106"/>
      <c r="AC705" s="115">
        <f>[1]Calc!$B$39/[1]Calc!$B$95</f>
        <v>0.12267812676218505</v>
      </c>
      <c r="AD705" s="111"/>
      <c r="AE705" s="112"/>
      <c r="AF705" s="136"/>
      <c r="AG705" s="123">
        <f>AC705*79854.62</f>
        <v>9796.4151949061161</v>
      </c>
      <c r="AH705" s="32" t="e">
        <f>[1]Calc!$C$39/[1]Calc!$C$95</f>
        <v>#DIV/0!</v>
      </c>
      <c r="AI705" s="111"/>
      <c r="AJ705" s="112"/>
      <c r="AK705" s="136"/>
      <c r="AL705" s="123"/>
      <c r="AM705" s="116" t="e">
        <f>[1]Calc!$D$39/[1]Calc!$D$95</f>
        <v>#DIV/0!</v>
      </c>
      <c r="AN705" s="111"/>
      <c r="AO705" s="112"/>
      <c r="AP705" s="136"/>
      <c r="AQ705" s="123"/>
      <c r="AR705" s="116" t="e">
        <f>[1]Calc!$E$39/[1]Calc!$E$95</f>
        <v>#DIV/0!</v>
      </c>
      <c r="AS705" s="111"/>
      <c r="AT705" s="112"/>
      <c r="AU705" s="136"/>
      <c r="AV705" s="123"/>
      <c r="AW705" s="114"/>
      <c r="AX705" s="111"/>
      <c r="AY705" s="112"/>
      <c r="AZ705" s="136"/>
      <c r="BA705" s="123">
        <f>AG705+AL705+AQ705+AV705</f>
        <v>9796.4151949061161</v>
      </c>
      <c r="BB705" s="9"/>
    </row>
    <row r="706" spans="1:54" x14ac:dyDescent="0.35">
      <c r="A706" s="54"/>
      <c r="B706" s="335" t="s">
        <v>340</v>
      </c>
      <c r="C706" s="106" t="s">
        <v>124</v>
      </c>
      <c r="D706" s="111" t="s">
        <v>28</v>
      </c>
      <c r="E706" s="112">
        <v>1.1961805581601985</v>
      </c>
      <c r="F706" s="136">
        <v>5870.7515200780672</v>
      </c>
      <c r="G706" s="123">
        <v>7022.4788301068165</v>
      </c>
      <c r="H706" s="106"/>
      <c r="I706" s="111" t="s">
        <v>28</v>
      </c>
      <c r="J706" s="112">
        <v>0.49911650584746797</v>
      </c>
      <c r="K706" s="136">
        <v>5738.958333333333</v>
      </c>
      <c r="L706" s="123">
        <v>2864.4088305375417</v>
      </c>
      <c r="M706" s="30"/>
      <c r="N706" s="111" t="s">
        <v>28</v>
      </c>
      <c r="O706" s="112">
        <v>0.30513155890180876</v>
      </c>
      <c r="P706" s="136">
        <v>5882.4322916666661</v>
      </c>
      <c r="Q706" s="123">
        <v>1794.9157352905893</v>
      </c>
      <c r="R706" s="114"/>
      <c r="S706" s="111" t="s">
        <v>28</v>
      </c>
      <c r="T706" s="112">
        <v>0.39193249341092196</v>
      </c>
      <c r="U706" s="136">
        <v>6029.4930989583299</v>
      </c>
      <c r="V706" s="123">
        <v>2363.1542642786849</v>
      </c>
      <c r="W706" s="114"/>
      <c r="X706" s="111"/>
      <c r="Y706" s="112"/>
      <c r="Z706" s="136"/>
      <c r="AA706" s="123"/>
      <c r="AB706" s="106"/>
      <c r="AC706" s="115">
        <f>[1]Calc!$B$39/[1]Calc!$B$95</f>
        <v>0.12267812676218505</v>
      </c>
      <c r="AD706" s="111"/>
      <c r="AE706" s="112"/>
      <c r="AF706" s="136"/>
      <c r="AG706" s="123">
        <f>AC706*0</f>
        <v>0</v>
      </c>
      <c r="AH706" s="32" t="e">
        <f>[1]Calc!$C$39/[1]Calc!$C$95</f>
        <v>#DIV/0!</v>
      </c>
      <c r="AI706" s="111"/>
      <c r="AJ706" s="112"/>
      <c r="AK706" s="136"/>
      <c r="AL706" s="123"/>
      <c r="AM706" s="116" t="e">
        <f>[1]Calc!$D$39/[1]Calc!$D$95</f>
        <v>#DIV/0!</v>
      </c>
      <c r="AN706" s="111"/>
      <c r="AO706" s="112"/>
      <c r="AP706" s="136"/>
      <c r="AQ706" s="123"/>
      <c r="AR706" s="116" t="e">
        <f>[1]Calc!$E$39/[1]Calc!$E$95</f>
        <v>#DIV/0!</v>
      </c>
      <c r="AS706" s="111"/>
      <c r="AT706" s="112"/>
      <c r="AU706" s="136"/>
      <c r="AV706" s="123"/>
      <c r="AW706" s="114"/>
      <c r="AX706" s="111"/>
      <c r="AY706" s="112"/>
      <c r="AZ706" s="136"/>
      <c r="BA706" s="123">
        <f>AG706+AL706+AQ706+AV706</f>
        <v>0</v>
      </c>
      <c r="BB706" s="9"/>
    </row>
    <row r="707" spans="1:54" x14ac:dyDescent="0.35">
      <c r="A707" s="54"/>
      <c r="B707" s="335"/>
      <c r="C707" s="106"/>
      <c r="D707" s="111"/>
      <c r="E707" s="112"/>
      <c r="F707" s="136"/>
      <c r="G707" s="123"/>
      <c r="H707" s="106"/>
      <c r="I707" s="111"/>
      <c r="J707" s="112"/>
      <c r="K707" s="136"/>
      <c r="L707" s="123"/>
      <c r="M707" s="30"/>
      <c r="N707" s="111"/>
      <c r="O707" s="112"/>
      <c r="P707" s="136"/>
      <c r="Q707" s="123"/>
      <c r="R707" s="114"/>
      <c r="S707" s="111"/>
      <c r="T707" s="112"/>
      <c r="U707" s="136"/>
      <c r="V707" s="123"/>
      <c r="W707" s="114"/>
      <c r="X707" s="111"/>
      <c r="Y707" s="112"/>
      <c r="Z707" s="136"/>
      <c r="AA707" s="123"/>
      <c r="AB707" s="106"/>
      <c r="AC707" s="115"/>
      <c r="AD707" s="111"/>
      <c r="AE707" s="112"/>
      <c r="AF707" s="136"/>
      <c r="AG707" s="123"/>
      <c r="AH707" s="32"/>
      <c r="AI707" s="111"/>
      <c r="AJ707" s="112"/>
      <c r="AK707" s="136"/>
      <c r="AL707" s="123"/>
      <c r="AM707" s="116"/>
      <c r="AN707" s="111"/>
      <c r="AO707" s="112"/>
      <c r="AP707" s="136"/>
      <c r="AQ707" s="123"/>
      <c r="AR707" s="116"/>
      <c r="AS707" s="111"/>
      <c r="AT707" s="112"/>
      <c r="AU707" s="136"/>
      <c r="AV707" s="123"/>
      <c r="AW707" s="114"/>
      <c r="AX707" s="111"/>
      <c r="AY707" s="112"/>
      <c r="AZ707" s="136"/>
      <c r="BA707" s="123"/>
      <c r="BB707" s="9"/>
    </row>
    <row r="708" spans="1:54" x14ac:dyDescent="0.35">
      <c r="A708" s="54"/>
      <c r="B708" s="334" t="s">
        <v>416</v>
      </c>
      <c r="C708" s="106" t="s">
        <v>124</v>
      </c>
      <c r="D708" s="336" t="s">
        <v>189</v>
      </c>
      <c r="E708" s="337">
        <v>1</v>
      </c>
      <c r="F708" s="161">
        <v>4020.6499550627673</v>
      </c>
      <c r="G708" s="125">
        <v>4020.6499550627673</v>
      </c>
      <c r="H708" s="106"/>
      <c r="I708" s="336" t="s">
        <v>189</v>
      </c>
      <c r="J708" s="337">
        <v>1</v>
      </c>
      <c r="K708" s="161">
        <v>4020.6499550627673</v>
      </c>
      <c r="L708" s="125">
        <v>4020.6499550627673</v>
      </c>
      <c r="M708" s="98"/>
      <c r="N708" s="336"/>
      <c r="O708" s="337"/>
      <c r="P708" s="161"/>
      <c r="Q708" s="125"/>
      <c r="R708" s="166"/>
      <c r="S708" s="336"/>
      <c r="T708" s="337"/>
      <c r="U708" s="161"/>
      <c r="V708" s="118"/>
      <c r="W708" s="166"/>
      <c r="X708" s="336"/>
      <c r="Y708" s="337"/>
      <c r="Z708" s="161"/>
      <c r="AA708" s="118"/>
      <c r="AB708" s="106"/>
      <c r="AC708" s="338">
        <f>[1]Calc!$F$88/[1]Calc!$F$95</f>
        <v>0.35501449456995932</v>
      </c>
      <c r="AD708" s="336"/>
      <c r="AE708" s="337"/>
      <c r="AF708" s="161"/>
      <c r="AG708" s="125">
        <f>AC708*0</f>
        <v>0</v>
      </c>
      <c r="AH708" s="32"/>
      <c r="AI708" s="336"/>
      <c r="AJ708" s="337"/>
      <c r="AK708" s="161"/>
      <c r="AL708" s="125"/>
      <c r="AM708" s="116"/>
      <c r="AN708" s="336"/>
      <c r="AO708" s="337"/>
      <c r="AP708" s="161"/>
      <c r="AQ708" s="118"/>
      <c r="AR708" s="116"/>
      <c r="AS708" s="336"/>
      <c r="AT708" s="337"/>
      <c r="AU708" s="161"/>
      <c r="AV708" s="118"/>
      <c r="AW708" s="166"/>
      <c r="AX708" s="336"/>
      <c r="AY708" s="337"/>
      <c r="AZ708" s="161"/>
      <c r="BA708" s="125">
        <f>AG708+AL708+AQ708+AV708</f>
        <v>0</v>
      </c>
      <c r="BB708" s="9"/>
    </row>
    <row r="709" spans="1:54" x14ac:dyDescent="0.35">
      <c r="A709" s="54"/>
      <c r="B709" s="339"/>
      <c r="C709" s="106"/>
      <c r="D709" s="111"/>
      <c r="E709" s="112"/>
      <c r="F709" s="136"/>
      <c r="G709" s="340"/>
      <c r="H709" s="106"/>
      <c r="I709" s="111"/>
      <c r="J709" s="112"/>
      <c r="K709" s="136"/>
      <c r="L709" s="340"/>
      <c r="M709" s="30"/>
      <c r="N709" s="111"/>
      <c r="O709" s="112"/>
      <c r="P709" s="136"/>
      <c r="Q709" s="340"/>
      <c r="R709" s="114"/>
      <c r="S709" s="111"/>
      <c r="T709" s="112"/>
      <c r="U709" s="136"/>
      <c r="V709" s="340"/>
      <c r="W709" s="114"/>
      <c r="X709" s="111"/>
      <c r="Y709" s="112"/>
      <c r="Z709" s="136"/>
      <c r="AA709" s="340"/>
      <c r="AB709" s="106"/>
      <c r="AC709" s="115"/>
      <c r="AD709" s="111"/>
      <c r="AE709" s="112"/>
      <c r="AF709" s="136"/>
      <c r="AG709" s="340"/>
      <c r="AH709" s="32"/>
      <c r="AI709" s="111"/>
      <c r="AJ709" s="112"/>
      <c r="AK709" s="136"/>
      <c r="AL709" s="340"/>
      <c r="AM709" s="116"/>
      <c r="AN709" s="111"/>
      <c r="AO709" s="112"/>
      <c r="AP709" s="136"/>
      <c r="AQ709" s="340"/>
      <c r="AR709" s="116"/>
      <c r="AS709" s="111"/>
      <c r="AT709" s="112"/>
      <c r="AU709" s="136"/>
      <c r="AV709" s="340"/>
      <c r="AW709" s="114"/>
      <c r="AX709" s="111"/>
      <c r="AY709" s="112"/>
      <c r="AZ709" s="136"/>
      <c r="BA709" s="340"/>
      <c r="BB709" s="9"/>
    </row>
    <row r="710" spans="1:54" x14ac:dyDescent="0.35">
      <c r="A710" s="54"/>
      <c r="B710" s="334" t="s">
        <v>417</v>
      </c>
      <c r="C710" s="106"/>
      <c r="D710" s="111"/>
      <c r="E710" s="112"/>
      <c r="F710" s="136"/>
      <c r="G710" s="118">
        <v>2816.5405424863511</v>
      </c>
      <c r="H710" s="106"/>
      <c r="I710" s="111"/>
      <c r="J710" s="112"/>
      <c r="K710" s="136"/>
      <c r="L710" s="118">
        <v>755.53761072660461</v>
      </c>
      <c r="M710" s="30"/>
      <c r="N710" s="111"/>
      <c r="O710" s="112"/>
      <c r="P710" s="136"/>
      <c r="Q710" s="118">
        <v>236.72010985990164</v>
      </c>
      <c r="R710" s="114"/>
      <c r="S710" s="111"/>
      <c r="T710" s="112"/>
      <c r="U710" s="136"/>
      <c r="V710" s="118">
        <v>623.32300737826017</v>
      </c>
      <c r="W710" s="114"/>
      <c r="X710" s="111"/>
      <c r="Y710" s="112"/>
      <c r="Z710" s="136"/>
      <c r="AA710" s="118">
        <v>1200.9598145215846</v>
      </c>
      <c r="AB710" s="106"/>
      <c r="AC710" s="115"/>
      <c r="AD710" s="111"/>
      <c r="AE710" s="112"/>
      <c r="AF710" s="136"/>
      <c r="AG710" s="118">
        <f>SUM(AG711:AG713)</f>
        <v>0</v>
      </c>
      <c r="AH710" s="32"/>
      <c r="AI710" s="111"/>
      <c r="AJ710" s="112"/>
      <c r="AK710" s="136"/>
      <c r="AL710" s="118">
        <f>SUM(AL711:AL713)</f>
        <v>0</v>
      </c>
      <c r="AM710" s="116"/>
      <c r="AN710" s="111"/>
      <c r="AO710" s="112"/>
      <c r="AP710" s="136"/>
      <c r="AQ710" s="118">
        <f>SUM(AQ711:AQ713)</f>
        <v>0</v>
      </c>
      <c r="AR710" s="116"/>
      <c r="AS710" s="111"/>
      <c r="AT710" s="112"/>
      <c r="AU710" s="136"/>
      <c r="AV710" s="118">
        <f>SUM(AV711:AV713)</f>
        <v>0</v>
      </c>
      <c r="AW710" s="114"/>
      <c r="AX710" s="111"/>
      <c r="AY710" s="112"/>
      <c r="AZ710" s="136"/>
      <c r="BA710" s="118">
        <f>SUM(BA711:BA713)</f>
        <v>0</v>
      </c>
      <c r="BB710" s="9"/>
    </row>
    <row r="711" spans="1:54" ht="29" x14ac:dyDescent="0.35">
      <c r="A711" s="54"/>
      <c r="B711" s="126" t="s">
        <v>127</v>
      </c>
      <c r="C711" s="127" t="s">
        <v>124</v>
      </c>
      <c r="D711" s="128" t="s">
        <v>128</v>
      </c>
      <c r="E711" s="112">
        <v>0.44508380637064054</v>
      </c>
      <c r="F711" s="130">
        <v>4152.515625</v>
      </c>
      <c r="G711" s="123">
        <v>1860.6378480504386</v>
      </c>
      <c r="H711" s="127"/>
      <c r="I711" s="128" t="s">
        <v>128</v>
      </c>
      <c r="J711" s="129">
        <v>0.12477912646186699</v>
      </c>
      <c r="K711" s="130">
        <v>4000</v>
      </c>
      <c r="L711" s="123">
        <v>499.11650584746798</v>
      </c>
      <c r="M711" s="30"/>
      <c r="N711" s="128" t="s">
        <v>128</v>
      </c>
      <c r="O711" s="129">
        <v>3.8141444862726095E-2</v>
      </c>
      <c r="P711" s="130">
        <v>4100</v>
      </c>
      <c r="Q711" s="123">
        <v>156.37992393717698</v>
      </c>
      <c r="R711" s="114"/>
      <c r="S711" s="128" t="s">
        <v>128</v>
      </c>
      <c r="T711" s="129">
        <v>9.7983123352730489E-2</v>
      </c>
      <c r="U711" s="130">
        <v>4202.5</v>
      </c>
      <c r="V711" s="123">
        <v>411.77407588984988</v>
      </c>
      <c r="W711" s="114"/>
      <c r="X711" s="128" t="s">
        <v>128</v>
      </c>
      <c r="Y711" s="129">
        <v>0.18418011169331699</v>
      </c>
      <c r="Z711" s="130">
        <v>4307.5625</v>
      </c>
      <c r="AA711" s="123">
        <v>793.36734237594374</v>
      </c>
      <c r="AB711" s="127"/>
      <c r="AC711" s="115">
        <f>[1]Calc!$B$39/[1]Calc!$B$95</f>
        <v>0.12267812676218505</v>
      </c>
      <c r="AD711" s="128"/>
      <c r="AE711" s="129"/>
      <c r="AF711" s="130"/>
      <c r="AG711" s="123">
        <f>AC711*0</f>
        <v>0</v>
      </c>
      <c r="AH711" s="32" t="e">
        <f>[1]Calc!$C$39/[1]Calc!$C$95</f>
        <v>#DIV/0!</v>
      </c>
      <c r="AI711" s="128"/>
      <c r="AJ711" s="129"/>
      <c r="AK711" s="130"/>
      <c r="AL711" s="123"/>
      <c r="AM711" s="116" t="e">
        <f>[1]Calc!$D$39/[1]Calc!$D$95</f>
        <v>#DIV/0!</v>
      </c>
      <c r="AN711" s="128"/>
      <c r="AO711" s="129"/>
      <c r="AP711" s="130"/>
      <c r="AQ711" s="123"/>
      <c r="AR711" s="116" t="e">
        <f>[1]Calc!$E$39/[1]Calc!$E$95</f>
        <v>#DIV/0!</v>
      </c>
      <c r="AS711" s="128"/>
      <c r="AT711" s="129"/>
      <c r="AU711" s="130"/>
      <c r="AV711" s="123"/>
      <c r="AW711" s="114"/>
      <c r="AX711" s="128"/>
      <c r="AY711" s="112"/>
      <c r="AZ711" s="130"/>
      <c r="BA711" s="123">
        <f>AG711+AL711+AQ711+AV711</f>
        <v>0</v>
      </c>
      <c r="BB711" s="9"/>
    </row>
    <row r="712" spans="1:54" x14ac:dyDescent="0.35">
      <c r="A712" s="54"/>
      <c r="B712" s="131" t="s">
        <v>129</v>
      </c>
      <c r="C712" s="132" t="s">
        <v>124</v>
      </c>
      <c r="D712" s="128" t="s">
        <v>130</v>
      </c>
      <c r="E712" s="112">
        <v>1.3352514191119216</v>
      </c>
      <c r="F712" s="130">
        <v>88.240957031249991</v>
      </c>
      <c r="G712" s="123">
        <v>118.61566281321547</v>
      </c>
      <c r="H712" s="132"/>
      <c r="I712" s="128" t="s">
        <v>130</v>
      </c>
      <c r="J712" s="129">
        <v>0.37433737938560097</v>
      </c>
      <c r="K712" s="130">
        <v>85</v>
      </c>
      <c r="L712" s="123">
        <v>31.818677247776083</v>
      </c>
      <c r="M712" s="30"/>
      <c r="N712" s="128" t="s">
        <v>130</v>
      </c>
      <c r="O712" s="129">
        <v>0.11442433458817826</v>
      </c>
      <c r="P712" s="130">
        <v>87.125</v>
      </c>
      <c r="Q712" s="123">
        <v>9.9692201509950316</v>
      </c>
      <c r="R712" s="114"/>
      <c r="S712" s="128" t="s">
        <v>130</v>
      </c>
      <c r="T712" s="129">
        <v>0.29394937005819149</v>
      </c>
      <c r="U712" s="130">
        <v>89.30312499999998</v>
      </c>
      <c r="V712" s="123">
        <v>26.250597337977926</v>
      </c>
      <c r="W712" s="114"/>
      <c r="X712" s="128" t="s">
        <v>130</v>
      </c>
      <c r="Y712" s="129">
        <v>0.55254033507995104</v>
      </c>
      <c r="Z712" s="130">
        <v>91.535703124999984</v>
      </c>
      <c r="AA712" s="123">
        <v>50.577168076466414</v>
      </c>
      <c r="AB712" s="132"/>
      <c r="AC712" s="115">
        <f>[1]Calc!$B$39/[1]Calc!$B$95</f>
        <v>0.12267812676218505</v>
      </c>
      <c r="AD712" s="128"/>
      <c r="AE712" s="129"/>
      <c r="AF712" s="130"/>
      <c r="AG712" s="123">
        <f>AC712*0</f>
        <v>0</v>
      </c>
      <c r="AH712" s="32" t="e">
        <f>[1]Calc!$C$39/[1]Calc!$C$95</f>
        <v>#DIV/0!</v>
      </c>
      <c r="AI712" s="128"/>
      <c r="AJ712" s="129"/>
      <c r="AK712" s="130"/>
      <c r="AL712" s="123"/>
      <c r="AM712" s="116" t="e">
        <f>[1]Calc!$D$39/[1]Calc!$D$95</f>
        <v>#DIV/0!</v>
      </c>
      <c r="AN712" s="128"/>
      <c r="AO712" s="129"/>
      <c r="AP712" s="130"/>
      <c r="AQ712" s="123"/>
      <c r="AR712" s="116" t="e">
        <f>[1]Calc!$E$39/[1]Calc!$E$95</f>
        <v>#DIV/0!</v>
      </c>
      <c r="AS712" s="128"/>
      <c r="AT712" s="129"/>
      <c r="AU712" s="130"/>
      <c r="AV712" s="123"/>
      <c r="AW712" s="114"/>
      <c r="AX712" s="128"/>
      <c r="AY712" s="112"/>
      <c r="AZ712" s="130"/>
      <c r="BA712" s="123">
        <f>AG712+AL712+AQ712+AV712</f>
        <v>0</v>
      </c>
      <c r="BB712" s="9"/>
    </row>
    <row r="713" spans="1:54" x14ac:dyDescent="0.35">
      <c r="A713" s="54"/>
      <c r="B713" s="131" t="s">
        <v>131</v>
      </c>
      <c r="C713" s="132" t="s">
        <v>124</v>
      </c>
      <c r="D713" s="128" t="s">
        <v>132</v>
      </c>
      <c r="E713" s="112">
        <v>6.6762570955596088</v>
      </c>
      <c r="F713" s="130">
        <v>124.57546874999998</v>
      </c>
      <c r="G713" s="123">
        <v>837.28703162269721</v>
      </c>
      <c r="H713" s="132"/>
      <c r="I713" s="128" t="s">
        <v>132</v>
      </c>
      <c r="J713" s="129">
        <v>1.8716868969280049</v>
      </c>
      <c r="K713" s="130">
        <v>120</v>
      </c>
      <c r="L713" s="123">
        <v>224.6024276313606</v>
      </c>
      <c r="M713" s="30"/>
      <c r="N713" s="128" t="s">
        <v>132</v>
      </c>
      <c r="O713" s="129">
        <v>0.57212167294089145</v>
      </c>
      <c r="P713" s="130">
        <v>122.99999999999999</v>
      </c>
      <c r="Q713" s="123">
        <v>70.370965771729644</v>
      </c>
      <c r="R713" s="114"/>
      <c r="S713" s="128" t="s">
        <v>132</v>
      </c>
      <c r="T713" s="129">
        <v>1.4697468502909574</v>
      </c>
      <c r="U713" s="130">
        <v>126.07499999999997</v>
      </c>
      <c r="V713" s="123">
        <v>185.29833415043242</v>
      </c>
      <c r="W713" s="114"/>
      <c r="X713" s="128" t="s">
        <v>132</v>
      </c>
      <c r="Y713" s="129">
        <v>2.7627016753997551</v>
      </c>
      <c r="Z713" s="130">
        <v>129.22687499999995</v>
      </c>
      <c r="AA713" s="123">
        <v>357.01530406917459</v>
      </c>
      <c r="AB713" s="132"/>
      <c r="AC713" s="115">
        <f>[1]Calc!$B$39/[1]Calc!$B$95</f>
        <v>0.12267812676218505</v>
      </c>
      <c r="AD713" s="128"/>
      <c r="AE713" s="129"/>
      <c r="AF713" s="130"/>
      <c r="AG713" s="123">
        <f>AC713*0</f>
        <v>0</v>
      </c>
      <c r="AH713" s="32" t="e">
        <f>[1]Calc!$C$39/[1]Calc!$C$95</f>
        <v>#DIV/0!</v>
      </c>
      <c r="AI713" s="128"/>
      <c r="AJ713" s="129"/>
      <c r="AK713" s="130"/>
      <c r="AL713" s="123"/>
      <c r="AM713" s="116" t="e">
        <f>[1]Calc!$D$39/[1]Calc!$D$95</f>
        <v>#DIV/0!</v>
      </c>
      <c r="AN713" s="128"/>
      <c r="AO713" s="129"/>
      <c r="AP713" s="130"/>
      <c r="AQ713" s="123"/>
      <c r="AR713" s="116" t="e">
        <f>[1]Calc!$E$39/[1]Calc!$E$95</f>
        <v>#DIV/0!</v>
      </c>
      <c r="AS713" s="128"/>
      <c r="AT713" s="129"/>
      <c r="AU713" s="130"/>
      <c r="AV713" s="123"/>
      <c r="AW713" s="114"/>
      <c r="AX713" s="128"/>
      <c r="AY713" s="112"/>
      <c r="AZ713" s="130"/>
      <c r="BA713" s="123">
        <f>AG713+AL713+AQ713+AV713</f>
        <v>0</v>
      </c>
      <c r="BB713" s="9"/>
    </row>
    <row r="714" spans="1:54" x14ac:dyDescent="0.35">
      <c r="A714" s="54"/>
      <c r="B714" s="341"/>
      <c r="C714" s="74"/>
      <c r="D714" s="75"/>
      <c r="E714" s="76"/>
      <c r="F714" s="56"/>
      <c r="G714" s="56"/>
      <c r="H714" s="74"/>
      <c r="I714" s="75"/>
      <c r="J714" s="76"/>
      <c r="K714" s="56"/>
      <c r="L714" s="56"/>
      <c r="M714" s="30"/>
      <c r="N714" s="75"/>
      <c r="O714" s="76"/>
      <c r="P714" s="56"/>
      <c r="Q714" s="56"/>
      <c r="R714" s="30"/>
      <c r="S714" s="75"/>
      <c r="T714" s="76"/>
      <c r="U714" s="56"/>
      <c r="V714" s="56"/>
      <c r="W714" s="30"/>
      <c r="X714" s="75"/>
      <c r="Y714" s="76"/>
      <c r="Z714" s="56"/>
      <c r="AA714" s="56"/>
      <c r="AB714" s="74"/>
      <c r="AC714" s="46"/>
      <c r="AD714" s="75"/>
      <c r="AE714" s="76"/>
      <c r="AF714" s="56"/>
      <c r="AG714" s="56"/>
      <c r="AH714" s="32"/>
      <c r="AI714" s="75"/>
      <c r="AJ714" s="76"/>
      <c r="AK714" s="56"/>
      <c r="AL714" s="56"/>
      <c r="AM714" s="32"/>
      <c r="AN714" s="75"/>
      <c r="AO714" s="76"/>
      <c r="AP714" s="56"/>
      <c r="AQ714" s="56"/>
      <c r="AR714" s="32"/>
      <c r="AS714" s="75"/>
      <c r="AT714" s="76"/>
      <c r="AU714" s="56"/>
      <c r="AV714" s="56"/>
      <c r="AW714" s="30"/>
      <c r="AX714" s="75"/>
      <c r="AY714" s="76"/>
      <c r="AZ714" s="56"/>
      <c r="BA714" s="56"/>
      <c r="BB714" s="9"/>
    </row>
    <row r="715" spans="1:54" x14ac:dyDescent="0.35">
      <c r="A715" s="54"/>
      <c r="B715" s="260" t="s">
        <v>418</v>
      </c>
      <c r="C715" s="261"/>
      <c r="D715" s="262"/>
      <c r="E715" s="263"/>
      <c r="F715" s="332"/>
      <c r="G715" s="333">
        <f>G702+G704+G708+G710</f>
        <v>747249.73761331488</v>
      </c>
      <c r="H715" s="261"/>
      <c r="I715" s="262"/>
      <c r="J715" s="263"/>
      <c r="K715" s="332"/>
      <c r="L715" s="333">
        <f>L702+L704+L708+L710</f>
        <v>333612.87285903905</v>
      </c>
      <c r="M715" s="30"/>
      <c r="N715" s="262"/>
      <c r="O715" s="263"/>
      <c r="P715" s="332"/>
      <c r="Q715" s="333">
        <f>Q702+Q704+Q708+Q710</f>
        <v>142445.63258449774</v>
      </c>
      <c r="R715" s="30"/>
      <c r="S715" s="262"/>
      <c r="T715" s="263"/>
      <c r="U715" s="332"/>
      <c r="V715" s="333">
        <f>V702+V704+V708+V710</f>
        <v>139567.21901903721</v>
      </c>
      <c r="W715" s="30"/>
      <c r="X715" s="262"/>
      <c r="Y715" s="263"/>
      <c r="Z715" s="332"/>
      <c r="AA715" s="333">
        <f>AA702+AA704+AA708+AA710</f>
        <v>131624.01315074082</v>
      </c>
      <c r="AB715" s="261"/>
      <c r="AC715" s="266"/>
      <c r="AD715" s="262"/>
      <c r="AE715" s="263"/>
      <c r="AF715" s="332"/>
      <c r="AG715" s="333">
        <f>AG702+AG704+AG708+AG710</f>
        <v>255437.02835574414</v>
      </c>
      <c r="AH715" s="32"/>
      <c r="AI715" s="262"/>
      <c r="AJ715" s="263"/>
      <c r="AK715" s="332"/>
      <c r="AL715" s="333">
        <f>AL702+AL704+AL708+AL710</f>
        <v>0</v>
      </c>
      <c r="AM715" s="32"/>
      <c r="AN715" s="262"/>
      <c r="AO715" s="263"/>
      <c r="AP715" s="332"/>
      <c r="AQ715" s="333">
        <f>AQ702+AQ704+AQ708+AQ710</f>
        <v>0</v>
      </c>
      <c r="AR715" s="32"/>
      <c r="AS715" s="262"/>
      <c r="AT715" s="263"/>
      <c r="AU715" s="332"/>
      <c r="AV715" s="333">
        <f>AV702+AV704+AV708+AV710</f>
        <v>0</v>
      </c>
      <c r="AW715" s="30"/>
      <c r="AX715" s="262"/>
      <c r="AY715" s="263"/>
      <c r="AZ715" s="332"/>
      <c r="BA715" s="333">
        <f>BA702+BA704+BA708+BA710</f>
        <v>255437.02835574414</v>
      </c>
      <c r="BB715" s="9"/>
    </row>
    <row r="716" spans="1:54" x14ac:dyDescent="0.35">
      <c r="A716" s="54"/>
      <c r="B716" s="341"/>
      <c r="C716" s="74"/>
      <c r="D716" s="75"/>
      <c r="E716" s="76"/>
      <c r="F716" s="56"/>
      <c r="G716" s="56"/>
      <c r="H716" s="74"/>
      <c r="I716" s="75"/>
      <c r="J716" s="76"/>
      <c r="K716" s="56"/>
      <c r="L716" s="56"/>
      <c r="M716" s="30"/>
      <c r="N716" s="75"/>
      <c r="O716" s="76"/>
      <c r="P716" s="56"/>
      <c r="Q716" s="56"/>
      <c r="R716" s="30"/>
      <c r="S716" s="75"/>
      <c r="T716" s="76"/>
      <c r="U716" s="56"/>
      <c r="V716" s="56"/>
      <c r="W716" s="30"/>
      <c r="X716" s="75"/>
      <c r="Y716" s="76"/>
      <c r="Z716" s="56"/>
      <c r="AA716" s="56"/>
      <c r="AB716" s="74"/>
      <c r="AC716" s="46"/>
      <c r="AD716" s="75"/>
      <c r="AE716" s="76"/>
      <c r="AF716" s="56"/>
      <c r="AG716" s="56"/>
      <c r="AH716" s="32"/>
      <c r="AI716" s="75"/>
      <c r="AJ716" s="76"/>
      <c r="AK716" s="56"/>
      <c r="AL716" s="56"/>
      <c r="AM716" s="32"/>
      <c r="AN716" s="75"/>
      <c r="AO716" s="76"/>
      <c r="AP716" s="56"/>
      <c r="AQ716" s="56"/>
      <c r="AR716" s="32"/>
      <c r="AS716" s="75"/>
      <c r="AT716" s="76"/>
      <c r="AU716" s="56"/>
      <c r="AV716" s="56"/>
      <c r="AW716" s="30"/>
      <c r="AX716" s="75"/>
      <c r="AY716" s="76"/>
      <c r="AZ716" s="56"/>
      <c r="BA716" s="56"/>
      <c r="BB716" s="9"/>
    </row>
    <row r="717" spans="1:54" x14ac:dyDescent="0.35">
      <c r="A717" s="355"/>
      <c r="B717" s="356" t="s">
        <v>419</v>
      </c>
      <c r="C717" s="357"/>
      <c r="D717" s="358"/>
      <c r="E717" s="359"/>
      <c r="F717" s="360"/>
      <c r="G717" s="361">
        <f>G715+G499</f>
        <v>5003505.3559133951</v>
      </c>
      <c r="H717" s="357"/>
      <c r="I717" s="358"/>
      <c r="J717" s="359"/>
      <c r="K717" s="360"/>
      <c r="L717" s="361">
        <f>L715+L499</f>
        <v>1948614.0449346865</v>
      </c>
      <c r="M717" s="30"/>
      <c r="N717" s="358"/>
      <c r="O717" s="359"/>
      <c r="P717" s="360"/>
      <c r="Q717" s="361">
        <f>Q715+Q499</f>
        <v>1305182.4149478632</v>
      </c>
      <c r="R717" s="30"/>
      <c r="S717" s="358"/>
      <c r="T717" s="359"/>
      <c r="U717" s="360"/>
      <c r="V717" s="361">
        <f>V715+V499</f>
        <v>1066345.6743478347</v>
      </c>
      <c r="W717" s="30"/>
      <c r="X717" s="358"/>
      <c r="Y717" s="359"/>
      <c r="Z717" s="360"/>
      <c r="AA717" s="361">
        <f>AA715+AA499</f>
        <v>683363.22168301116</v>
      </c>
      <c r="AB717" s="357"/>
      <c r="AC717" s="362"/>
      <c r="AD717" s="358"/>
      <c r="AE717" s="359"/>
      <c r="AF717" s="360"/>
      <c r="AG717" s="361">
        <f>AG715+AG499</f>
        <v>900498.34171623434</v>
      </c>
      <c r="AH717" s="32"/>
      <c r="AI717" s="358"/>
      <c r="AJ717" s="359"/>
      <c r="AK717" s="360"/>
      <c r="AL717" s="361">
        <f>AL715+AL499</f>
        <v>0</v>
      </c>
      <c r="AM717" s="32"/>
      <c r="AN717" s="358"/>
      <c r="AO717" s="359"/>
      <c r="AP717" s="360"/>
      <c r="AQ717" s="361">
        <f>AQ715+AQ499</f>
        <v>0</v>
      </c>
      <c r="AR717" s="32"/>
      <c r="AS717" s="358"/>
      <c r="AT717" s="359"/>
      <c r="AU717" s="360"/>
      <c r="AV717" s="361">
        <f>AV715+AV499</f>
        <v>0</v>
      </c>
      <c r="AW717" s="30"/>
      <c r="AX717" s="358"/>
      <c r="AY717" s="359"/>
      <c r="AZ717" s="360"/>
      <c r="BA717" s="361">
        <f>BA715+BA499</f>
        <v>900498.34171623434</v>
      </c>
      <c r="BB717" s="9"/>
    </row>
    <row r="718" spans="1:54" x14ac:dyDescent="0.35">
      <c r="A718" s="363"/>
      <c r="B718" s="319"/>
      <c r="C718" s="33"/>
      <c r="D718" s="43"/>
      <c r="E718" s="44"/>
      <c r="F718" s="56"/>
      <c r="G718" s="56"/>
      <c r="H718" s="33"/>
      <c r="I718" s="43"/>
      <c r="J718" s="44"/>
      <c r="K718" s="56"/>
      <c r="L718" s="56"/>
      <c r="M718" s="30"/>
      <c r="N718" s="43"/>
      <c r="O718" s="44"/>
      <c r="P718" s="56"/>
      <c r="Q718" s="56"/>
      <c r="R718" s="30"/>
      <c r="S718" s="43"/>
      <c r="T718" s="44"/>
      <c r="U718" s="56"/>
      <c r="V718" s="56"/>
      <c r="W718" s="30"/>
      <c r="X718" s="43"/>
      <c r="Y718" s="44"/>
      <c r="Z718" s="56"/>
      <c r="AA718" s="56"/>
      <c r="AB718" s="33"/>
      <c r="AC718" s="185"/>
      <c r="AD718" s="43"/>
      <c r="AE718" s="44"/>
      <c r="AF718" s="56"/>
      <c r="AG718" s="56"/>
      <c r="AH718" s="32"/>
      <c r="AI718" s="43"/>
      <c r="AJ718" s="44"/>
      <c r="AK718" s="56"/>
      <c r="AL718" s="56"/>
      <c r="AM718" s="32"/>
      <c r="AN718" s="43"/>
      <c r="AO718" s="44"/>
      <c r="AP718" s="56"/>
      <c r="AQ718" s="56"/>
      <c r="AR718" s="32"/>
      <c r="AS718" s="43"/>
      <c r="AT718" s="44"/>
      <c r="AU718" s="56"/>
      <c r="AV718" s="56"/>
      <c r="AW718" s="30"/>
      <c r="AX718" s="43"/>
      <c r="AY718" s="44"/>
      <c r="AZ718" s="56"/>
      <c r="BA718" s="56"/>
      <c r="BB718" s="9"/>
    </row>
    <row r="719" spans="1:54" ht="15.5" x14ac:dyDescent="0.35">
      <c r="A719" s="47"/>
      <c r="B719" s="364" t="s">
        <v>420</v>
      </c>
      <c r="C719" s="49"/>
      <c r="D719" s="50"/>
      <c r="E719" s="51"/>
      <c r="F719" s="52"/>
      <c r="G719" s="365">
        <f>G717+G112+G13</f>
        <v>7470604.5590251908</v>
      </c>
      <c r="H719" s="49"/>
      <c r="I719" s="50"/>
      <c r="J719" s="51"/>
      <c r="K719" s="52"/>
      <c r="L719" s="365">
        <f>L717+L112+L13</f>
        <v>2634367.4498478882</v>
      </c>
      <c r="M719" s="30"/>
      <c r="N719" s="50"/>
      <c r="O719" s="51"/>
      <c r="P719" s="52"/>
      <c r="Q719" s="365">
        <f>Q717+Q112+Q13</f>
        <v>1963811.5725369728</v>
      </c>
      <c r="R719" s="30"/>
      <c r="S719" s="50"/>
      <c r="T719" s="51"/>
      <c r="U719" s="52"/>
      <c r="V719" s="365">
        <f>V717+V112+V13</f>
        <v>1697620.6300361576</v>
      </c>
      <c r="W719" s="30"/>
      <c r="X719" s="50"/>
      <c r="Y719" s="51"/>
      <c r="Z719" s="52"/>
      <c r="AA719" s="365">
        <f>AA717+AA112+AA13</f>
        <v>1174804.9066041724</v>
      </c>
      <c r="AB719" s="49"/>
      <c r="AC719" s="53"/>
      <c r="AD719" s="50"/>
      <c r="AE719" s="51"/>
      <c r="AF719" s="52"/>
      <c r="AG719" s="365">
        <f>AG717+AG112+AG13</f>
        <v>1580126.6500774077</v>
      </c>
      <c r="AH719" s="32"/>
      <c r="AI719" s="50"/>
      <c r="AJ719" s="51"/>
      <c r="AK719" s="52"/>
      <c r="AL719" s="365">
        <f>AL717+AL112+AL13</f>
        <v>0</v>
      </c>
      <c r="AM719" s="32"/>
      <c r="AN719" s="50"/>
      <c r="AO719" s="51"/>
      <c r="AP719" s="52"/>
      <c r="AQ719" s="365">
        <f>AQ717+AQ112+AQ13</f>
        <v>0</v>
      </c>
      <c r="AR719" s="32"/>
      <c r="AS719" s="50"/>
      <c r="AT719" s="51"/>
      <c r="AU719" s="52"/>
      <c r="AV719" s="365">
        <f>AV717+AV112+AV13</f>
        <v>0</v>
      </c>
      <c r="AW719" s="30"/>
      <c r="AX719" s="50"/>
      <c r="AY719" s="51"/>
      <c r="AZ719" s="52"/>
      <c r="BA719" s="365">
        <f>BA717+BA112+BA13</f>
        <v>1580126.6500774077</v>
      </c>
      <c r="BB719" s="9"/>
    </row>
    <row r="720" spans="1:54" x14ac:dyDescent="0.35">
      <c r="A720" s="54"/>
      <c r="B720" s="366" t="s">
        <v>421</v>
      </c>
      <c r="C720" s="74" t="s">
        <v>124</v>
      </c>
      <c r="D720" s="43"/>
      <c r="E720" s="44"/>
      <c r="F720" s="367"/>
      <c r="G720" s="368">
        <f>G719*8%</f>
        <v>597648.36472201522</v>
      </c>
      <c r="H720" s="74"/>
      <c r="I720" s="43"/>
      <c r="J720" s="44"/>
      <c r="K720" s="367"/>
      <c r="L720" s="368">
        <f>L719*8%</f>
        <v>210749.39598783106</v>
      </c>
      <c r="M720" s="30"/>
      <c r="N720" s="43"/>
      <c r="O720" s="44"/>
      <c r="P720" s="367"/>
      <c r="Q720" s="368">
        <f>Q719*8%</f>
        <v>157104.92580295782</v>
      </c>
      <c r="R720" s="30"/>
      <c r="S720" s="43"/>
      <c r="T720" s="44"/>
      <c r="U720" s="367"/>
      <c r="V720" s="368">
        <f>V719*8%</f>
        <v>135809.65040289261</v>
      </c>
      <c r="W720" s="30"/>
      <c r="X720" s="43"/>
      <c r="Y720" s="44"/>
      <c r="Z720" s="367"/>
      <c r="AA720" s="368">
        <f>AA719*8%</f>
        <v>93984.392528333803</v>
      </c>
      <c r="AB720" s="74"/>
      <c r="AC720" s="46"/>
      <c r="AD720" s="43"/>
      <c r="AE720" s="44"/>
      <c r="AF720" s="367"/>
      <c r="AG720" s="368">
        <f>AG719*8%</f>
        <v>126410.13200619262</v>
      </c>
      <c r="AH720" s="32"/>
      <c r="AI720" s="43"/>
      <c r="AJ720" s="44"/>
      <c r="AK720" s="367"/>
      <c r="AL720" s="368">
        <f>AL719*8%</f>
        <v>0</v>
      </c>
      <c r="AM720" s="32"/>
      <c r="AN720" s="43"/>
      <c r="AO720" s="44"/>
      <c r="AP720" s="367"/>
      <c r="AQ720" s="368">
        <f>AQ719*8%</f>
        <v>0</v>
      </c>
      <c r="AR720" s="32"/>
      <c r="AS720" s="43"/>
      <c r="AT720" s="44"/>
      <c r="AU720" s="367"/>
      <c r="AV720" s="368">
        <f>AV719*8%</f>
        <v>0</v>
      </c>
      <c r="AW720" s="30"/>
      <c r="AX720" s="43"/>
      <c r="AY720" s="44"/>
      <c r="AZ720" s="367"/>
      <c r="BA720" s="368">
        <f>BA719*8%</f>
        <v>126410.13200619262</v>
      </c>
      <c r="BB720" s="9"/>
    </row>
    <row r="721" spans="1:54" x14ac:dyDescent="0.35">
      <c r="A721" s="369"/>
      <c r="B721" s="370" t="s">
        <v>422</v>
      </c>
      <c r="C721" s="371"/>
      <c r="D721" s="372"/>
      <c r="E721" s="373"/>
      <c r="F721" s="374"/>
      <c r="G721" s="375">
        <f>G719+G720</f>
        <v>8068252.9237472061</v>
      </c>
      <c r="H721" s="371"/>
      <c r="I721" s="372"/>
      <c r="J721" s="373"/>
      <c r="K721" s="374"/>
      <c r="L721" s="375">
        <f>L719+L720</f>
        <v>2845116.8458357193</v>
      </c>
      <c r="M721" s="30"/>
      <c r="N721" s="372"/>
      <c r="O721" s="373"/>
      <c r="P721" s="374"/>
      <c r="Q721" s="375">
        <f>Q719+Q720</f>
        <v>2120916.4983399305</v>
      </c>
      <c r="R721" s="30"/>
      <c r="S721" s="372"/>
      <c r="T721" s="373"/>
      <c r="U721" s="374"/>
      <c r="V721" s="375">
        <f>V719+V720</f>
        <v>1833430.2804390502</v>
      </c>
      <c r="W721" s="30"/>
      <c r="X721" s="372"/>
      <c r="Y721" s="373"/>
      <c r="Z721" s="374"/>
      <c r="AA721" s="375">
        <f>AA719+AA720</f>
        <v>1268789.2991325061</v>
      </c>
      <c r="AB721" s="371"/>
      <c r="AC721" s="376"/>
      <c r="AD721" s="372"/>
      <c r="AE721" s="373"/>
      <c r="AF721" s="374"/>
      <c r="AG721" s="375">
        <f>AG719+AG720</f>
        <v>1706536.7820836003</v>
      </c>
      <c r="AH721" s="32"/>
      <c r="AI721" s="372"/>
      <c r="AJ721" s="373"/>
      <c r="AK721" s="374"/>
      <c r="AL721" s="375">
        <f>AL719+AL720</f>
        <v>0</v>
      </c>
      <c r="AM721" s="32"/>
      <c r="AN721" s="372"/>
      <c r="AO721" s="373"/>
      <c r="AP721" s="374"/>
      <c r="AQ721" s="375">
        <f>AQ719+AQ720</f>
        <v>0</v>
      </c>
      <c r="AR721" s="32"/>
      <c r="AS721" s="372"/>
      <c r="AT721" s="373"/>
      <c r="AU721" s="374"/>
      <c r="AV721" s="375">
        <f>AV719+AV720</f>
        <v>0</v>
      </c>
      <c r="AW721" s="30"/>
      <c r="AX721" s="372"/>
      <c r="AY721" s="373"/>
      <c r="AZ721" s="374"/>
      <c r="BA721" s="375">
        <f>BA719+BA720</f>
        <v>1706536.7820836003</v>
      </c>
      <c r="BB721" s="9"/>
    </row>
    <row r="722" spans="1:54" x14ac:dyDescent="0.35">
      <c r="A722" s="377"/>
      <c r="B722" s="378" t="s">
        <v>423</v>
      </c>
      <c r="C722" s="379"/>
      <c r="D722" s="379"/>
      <c r="E722" s="379"/>
      <c r="F722" s="379"/>
      <c r="G722" s="379"/>
      <c r="H722" s="379"/>
      <c r="I722" s="379"/>
      <c r="J722" s="379"/>
      <c r="K722" s="379"/>
      <c r="L722" s="379"/>
      <c r="M722" s="379"/>
      <c r="N722" s="379"/>
      <c r="O722" s="379"/>
      <c r="P722" s="379"/>
      <c r="Q722" s="379"/>
      <c r="R722" s="379"/>
      <c r="S722" s="379"/>
      <c r="T722" s="379"/>
      <c r="U722" s="379"/>
      <c r="V722" s="379"/>
      <c r="W722" s="379"/>
      <c r="X722" s="379"/>
      <c r="Y722" s="379"/>
      <c r="Z722" s="379"/>
      <c r="AA722" s="379"/>
      <c r="AB722" s="379"/>
      <c r="AC722" s="379"/>
      <c r="AD722" s="379"/>
      <c r="AE722" s="379"/>
      <c r="AF722" s="379"/>
      <c r="AG722" s="379"/>
      <c r="AH722" s="380"/>
      <c r="AI722" s="380"/>
      <c r="AJ722" s="380"/>
      <c r="AK722" s="380"/>
      <c r="AL722" s="380"/>
      <c r="AM722" s="380"/>
      <c r="AN722" s="380"/>
      <c r="AO722" s="380"/>
      <c r="AP722" s="380"/>
      <c r="AQ722" s="380"/>
      <c r="AR722" s="380"/>
      <c r="AS722" s="380"/>
      <c r="AT722" s="380"/>
      <c r="AU722" s="380"/>
      <c r="AV722" s="380"/>
      <c r="AW722" s="380"/>
      <c r="AX722" s="380"/>
      <c r="AY722" s="380"/>
      <c r="AZ722" s="380"/>
      <c r="BA722" s="381"/>
    </row>
    <row r="723" spans="1:54" ht="53.25" customHeight="1" x14ac:dyDescent="0.35">
      <c r="A723" s="382"/>
      <c r="B723" s="383" t="s">
        <v>424</v>
      </c>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c r="AC723" s="14"/>
      <c r="AD723" s="14"/>
      <c r="AE723" s="14"/>
      <c r="AF723" s="14"/>
      <c r="AG723" s="14"/>
      <c r="AH723" s="384"/>
      <c r="AI723" s="384"/>
      <c r="AJ723" s="384"/>
      <c r="AK723" s="384"/>
      <c r="AL723" s="384"/>
      <c r="AM723" s="384"/>
      <c r="AN723" s="384"/>
      <c r="AO723" s="384"/>
      <c r="AP723" s="384"/>
      <c r="AQ723" s="384"/>
      <c r="AR723" s="384"/>
      <c r="AS723" s="384"/>
      <c r="AT723" s="384"/>
      <c r="AU723" s="384"/>
      <c r="AV723" s="384"/>
      <c r="AW723" s="384"/>
      <c r="AX723" s="384"/>
      <c r="AY723" s="384"/>
      <c r="AZ723" s="384"/>
      <c r="BA723" s="385"/>
    </row>
    <row r="724" spans="1:54" ht="18.75" customHeight="1" x14ac:dyDescent="0.35">
      <c r="A724" s="382"/>
      <c r="B724" s="383" t="s">
        <v>425</v>
      </c>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c r="AC724" s="14"/>
      <c r="AD724" s="14"/>
      <c r="AE724" s="14"/>
      <c r="AF724" s="14"/>
      <c r="AG724" s="14"/>
      <c r="AH724" s="384"/>
      <c r="AI724" s="384"/>
      <c r="AJ724" s="384"/>
      <c r="AK724" s="384"/>
      <c r="AL724" s="384"/>
      <c r="AM724" s="384"/>
      <c r="AN724" s="384"/>
      <c r="AO724" s="384"/>
      <c r="AP724" s="384"/>
      <c r="AQ724" s="384"/>
      <c r="AR724" s="384"/>
      <c r="AS724" s="384"/>
      <c r="AT724" s="384"/>
      <c r="AU724" s="384"/>
      <c r="AV724" s="384"/>
      <c r="AW724" s="384"/>
      <c r="AX724" s="384"/>
      <c r="AY724" s="384"/>
      <c r="AZ724" s="384"/>
      <c r="BA724" s="385"/>
    </row>
    <row r="725" spans="1:54" ht="49.5" customHeight="1" x14ac:dyDescent="0.35">
      <c r="A725" s="382"/>
      <c r="B725" s="383" t="s">
        <v>426</v>
      </c>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c r="AC725" s="14"/>
      <c r="AD725" s="14"/>
      <c r="AE725" s="14"/>
      <c r="AF725" s="14"/>
      <c r="AG725" s="14"/>
      <c r="AH725" s="384"/>
      <c r="AI725" s="384"/>
      <c r="AJ725" s="384"/>
      <c r="AK725" s="384"/>
      <c r="AL725" s="384"/>
      <c r="AM725" s="384"/>
      <c r="AN725" s="384"/>
      <c r="AO725" s="384"/>
      <c r="AP725" s="384"/>
      <c r="AQ725" s="384"/>
      <c r="AR725" s="384"/>
      <c r="AS725" s="384"/>
      <c r="AT725" s="384"/>
      <c r="AU725" s="384"/>
      <c r="AV725" s="384"/>
      <c r="AW725" s="384"/>
      <c r="AX725" s="384"/>
      <c r="AY725" s="384"/>
      <c r="AZ725" s="384"/>
      <c r="BA725" s="385"/>
    </row>
    <row r="726" spans="1:54" ht="174.75" customHeight="1" x14ac:dyDescent="0.35">
      <c r="A726" s="386"/>
      <c r="B726" s="387" t="s">
        <v>427</v>
      </c>
      <c r="C726" s="388"/>
      <c r="D726" s="388"/>
      <c r="E726" s="388"/>
      <c r="F726" s="388"/>
      <c r="G726" s="388"/>
      <c r="H726" s="388"/>
      <c r="I726" s="388"/>
      <c r="J726" s="388"/>
      <c r="K726" s="388"/>
      <c r="L726" s="388"/>
      <c r="M726" s="388"/>
      <c r="N726" s="388"/>
      <c r="O726" s="388"/>
      <c r="P726" s="388"/>
      <c r="Q726" s="388"/>
      <c r="R726" s="388"/>
      <c r="S726" s="388"/>
      <c r="T726" s="388"/>
      <c r="U726" s="388"/>
      <c r="V726" s="388"/>
      <c r="W726" s="388"/>
      <c r="X726" s="388"/>
      <c r="Y726" s="388"/>
      <c r="Z726" s="388"/>
      <c r="AA726" s="388"/>
      <c r="AB726" s="388"/>
      <c r="AC726" s="388"/>
      <c r="AD726" s="388"/>
      <c r="AE726" s="388"/>
      <c r="AF726" s="388"/>
      <c r="AG726" s="388"/>
      <c r="AH726" s="388"/>
      <c r="AI726" s="388"/>
      <c r="AJ726" s="388"/>
      <c r="AK726" s="388"/>
      <c r="AL726" s="388"/>
      <c r="AM726" s="388"/>
      <c r="AN726" s="388"/>
      <c r="AO726" s="388"/>
      <c r="AP726" s="388"/>
      <c r="AQ726" s="388"/>
      <c r="AR726" s="388"/>
      <c r="AS726" s="388"/>
      <c r="AT726" s="388"/>
      <c r="AU726" s="388"/>
      <c r="AV726" s="388"/>
      <c r="AW726" s="388"/>
      <c r="AX726" s="388"/>
      <c r="AY726" s="388"/>
      <c r="AZ726" s="388"/>
      <c r="BA726" s="389"/>
    </row>
    <row r="728" spans="1:54" x14ac:dyDescent="0.35">
      <c r="AE728" s="6" t="s">
        <v>428</v>
      </c>
      <c r="AG728" s="7">
        <f>AG14+AG113+AG486+AG702</f>
        <v>1508320.4190000002</v>
      </c>
      <c r="AL728" s="7">
        <f>AL14+AL113+AL486+AL702</f>
        <v>0</v>
      </c>
      <c r="AQ728" s="7">
        <f>AQ14+AQ113+AQ486+AQ702</f>
        <v>0</v>
      </c>
      <c r="AV728" s="7">
        <f>AV14+AV113+AV486+AV702</f>
        <v>0</v>
      </c>
      <c r="BA728" s="7">
        <f>BA14+BA113+BA486+BA702</f>
        <v>1508320.4190000002</v>
      </c>
    </row>
    <row r="730" spans="1:54" x14ac:dyDescent="0.35">
      <c r="AC730" s="390" t="s">
        <v>429</v>
      </c>
      <c r="AG730" s="7">
        <f>AG719-AG731</f>
        <v>1508320.4190000002</v>
      </c>
    </row>
    <row r="731" spans="1:54" x14ac:dyDescent="0.35">
      <c r="AC731" s="390" t="s">
        <v>430</v>
      </c>
      <c r="AG731" s="7">
        <f>SUM(AG101,AG124,AG488,AG492,AG494,AG704,AG708,AG710)</f>
        <v>71806.231077407559</v>
      </c>
    </row>
    <row r="732" spans="1:54" x14ac:dyDescent="0.35">
      <c r="AG732" s="7">
        <f>SUM(AG730:AG731)</f>
        <v>1580126.6500774077</v>
      </c>
    </row>
  </sheetData>
  <mergeCells count="19">
    <mergeCell ref="B724:BA724"/>
    <mergeCell ref="B725:BA725"/>
    <mergeCell ref="B726:BA726"/>
    <mergeCell ref="AI6:AL6"/>
    <mergeCell ref="AN6:AQ6"/>
    <mergeCell ref="AS6:AV6"/>
    <mergeCell ref="AX6:BA6"/>
    <mergeCell ref="B722:BA722"/>
    <mergeCell ref="B723:BA723"/>
    <mergeCell ref="B2:AH2"/>
    <mergeCell ref="B3:AG3"/>
    <mergeCell ref="D5:AA5"/>
    <mergeCell ref="AC5:BA5"/>
    <mergeCell ref="D6:G6"/>
    <mergeCell ref="I6:L6"/>
    <mergeCell ref="N6:Q6"/>
    <mergeCell ref="S6:V6"/>
    <mergeCell ref="X6:AA6"/>
    <mergeCell ref="AD6:AG6"/>
  </mergeCells>
  <printOptions horizontalCentered="1"/>
  <pageMargins left="0" right="0" top="0.74803149606299213" bottom="0.74803149606299213" header="0.31496062992125984" footer="0.31496062992125984"/>
  <pageSetup paperSize="8" scale="37" fitToHeight="6" orientation="landscape" r:id="rId1"/>
  <rowBreaks count="2" manualBreakCount="2">
    <brk id="69" max="16383" man="1"/>
    <brk id="6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BFA (FP)</vt:lpstr>
      <vt:lpstr>'BFA (FP)'!Print_Area</vt:lpstr>
      <vt:lpstr>'BFA (FP)'!Print_Titles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Goedkoop, Jannie</dc:creator>
  <cp:lastModifiedBy>Goedkoop, Jannie</cp:lastModifiedBy>
  <dcterms:created xsi:type="dcterms:W3CDTF">2021-04-06T13:47:20Z</dcterms:created>
  <dcterms:modified xsi:type="dcterms:W3CDTF">2021-04-06T13:47:51Z</dcterms:modified>
</cp:coreProperties>
</file>